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Calculator" sheetId="1" state="visible" r:id="rId3"/>
    <sheet name="📈 Projection" sheetId="2" state="visible" r:id="rId4"/>
    <sheet name="ℹ️ How It Work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<sst xmlns="http://schemas.openxmlformats.org/spreadsheetml/2006/main" count="72" uniqueCount="70">
  <si>
    <t xml:space="preserve">RETIREMENT FREEDOM CALCULATOR</t>
  </si>
  <si>
    <t xml:space="preserve">4% Rule  ·  Your Retirement Number = Annual Expenses × 25  ·  Age-driven planning</t>
  </si>
  <si>
    <t xml:space="preserve">▸  STEP 1 — YOUR FINANCES</t>
  </si>
  <si>
    <t xml:space="preserve">▸  STEP 2 — YOUR TIMELINE</t>
  </si>
  <si>
    <t xml:space="preserve">Annual Living Expenses</t>
  </si>
  <si>
    <t xml:space="preserve">Current Age</t>
  </si>
  <si>
    <t xml:space="preserve">Current Savings</t>
  </si>
  <si>
    <t xml:space="preserve">Target Retirement Age</t>
  </si>
  <si>
    <t xml:space="preserve">Monthly Contribution</t>
  </si>
  <si>
    <t xml:space="preserve">Years to Retirement</t>
  </si>
  <si>
    <t xml:space="preserve">Expected Annual Return</t>
  </si>
  <si>
    <t xml:space="preserve">Retirement Number</t>
  </si>
  <si>
    <t xml:space="preserve">▸  SCENARIO A  —  I keep investing €1,000/month — what annual return do I need?</t>
  </si>
  <si>
    <t xml:space="preserve">Required Annual Return</t>
  </si>
  <si>
    <t xml:space="preserve">The return your portfolio must earn to retire on time</t>
  </si>
  <si>
    <t xml:space="preserve">Feasibility</t>
  </si>
  <si>
    <t xml:space="preserve">▸  SCENARIO B  —  Assuming my expected return — how much must I invest per month?</t>
  </si>
  <si>
    <t xml:space="preserve">Required Monthly Contribution</t>
  </si>
  <si>
    <t xml:space="preserve">Monthly investment needed at your assumed return to retire on schedule</t>
  </si>
  <si>
    <t xml:space="preserve">vs. current contribution</t>
  </si>
  <si>
    <t xml:space="preserve">Positive = you're over-saving  |  Negative = you need to invest more</t>
  </si>
  <si>
    <t xml:space="preserve">▸  PROJECTION SUMMARY  —  With your current contribution &amp; return</t>
  </si>
  <si>
    <t xml:space="preserve">Projected Portfolio at Retirement</t>
  </si>
  <si>
    <t xml:space="preserve">Based on current inputs — compound growth over full period</t>
  </si>
  <si>
    <t xml:space="preserve">Retirement Target</t>
  </si>
  <si>
    <t xml:space="preserve">Annual expenses × 25</t>
  </si>
  <si>
    <t xml:space="preserve">Surplus / (Shortfall)</t>
  </si>
  <si>
    <t xml:space="preserve">Positive = more than enough  |  Negative = gap to close</t>
  </si>
  <si>
    <t xml:space="preserve">Progress Today</t>
  </si>
  <si>
    <t xml:space="preserve">How far your current savings take you</t>
  </si>
  <si>
    <t xml:space="preserve">Annual Income at Retirement (4%)</t>
  </si>
  <si>
    <t xml:space="preserve">Safe withdrawal from projected portfolio</t>
  </si>
  <si>
    <t xml:space="preserve">Monthly Income at Retirement</t>
  </si>
  <si>
    <t xml:space="preserve">▸  REFERENCE TABLE  —  Annual expenses × 25</t>
  </si>
  <si>
    <t xml:space="preserve">Annual Expenses</t>
  </si>
  <si>
    <t xml:space="preserve">Monthly @ 7% / 25 yrs</t>
  </si>
  <si>
    <t xml:space="preserve">Monthly @ 7% / 30 yrs</t>
  </si>
  <si>
    <t xml:space="preserve">Monthly @ 5% / 25 yrs</t>
  </si>
  <si>
    <t xml:space="preserve">⚠  Blue cells = your inputs (C7:C10, F7:F8)  |  All other cells contain formulas — do not edit them</t>
  </si>
  <si>
    <t xml:space="preserve">YEAR-BY-YEAR PROJECTION</t>
  </si>
  <si>
    <t xml:space="preserve">Inputs pulled live from Calculator — change values there, this table updates automatically</t>
  </si>
  <si>
    <t xml:space="preserve">Year</t>
  </si>
  <si>
    <t xml:space="preserve">Portfolio Value</t>
  </si>
  <si>
    <t xml:space="preserve">Gap Remaining</t>
  </si>
  <si>
    <t xml:space="preserve">% Complete</t>
  </si>
  <si>
    <t xml:space="preserve">HOW TO USE THIS TOOL</t>
  </si>
  <si>
    <t xml:space="preserve">QUICK START</t>
  </si>
  <si>
    <t xml:space="preserve">1.  Go to the '📊 Calculator' sheet</t>
  </si>
  <si>
    <t xml:space="preserve">2.  Fill in the 6 blue/yellow input cells:</t>
  </si>
  <si>
    <t xml:space="preserve">     C7  — Annual living expenses (what you spend per year)</t>
  </si>
  <si>
    <t xml:space="preserve">     C8  — Current savings (what you have invested today)</t>
  </si>
  <si>
    <t xml:space="preserve">     C9  — Monthly contribution (what you invest each month)</t>
  </si>
  <si>
    <t xml:space="preserve">     C10 — Expected annual return (7% is a common index-fund assumption)</t>
  </si>
  <si>
    <t xml:space="preserve">     F7  — Your current age</t>
  </si>
  <si>
    <t xml:space="preserve">     F8  — Your target retirement age</t>
  </si>
  <si>
    <t xml:space="preserve">3.  All results, scenarios, and the projection table update instantly.</t>
  </si>
  <si>
    <t xml:space="preserve">WHAT EACH RESULT MEANS</t>
  </si>
  <si>
    <t xml:space="preserve">Retirement Number   —   Annual expenses × 25. The total portfolio you need.</t>
  </si>
  <si>
    <t xml:space="preserve">Years to Retirement  —   Target age minus current age. Fixed by your ages.</t>
  </si>
  <si>
    <t xml:space="preserve">Scenario A (Required Return)  —   The annual return your money must earn if you keep investing the same monthly amount. Calculated with Excel's RATE() function.</t>
  </si>
  <si>
    <t xml:space="preserve">Scenario B (Required Monthly Contribution)  —   How much to invest each month at your assumed return to hit the target on time. Uses Excel's PMT() function.</t>
  </si>
  <si>
    <t xml:space="preserve">Surplus / Shortfall  —   FV() projects your portfolio at retirement. Green = on track. Red = gap.</t>
  </si>
  <si>
    <t xml:space="preserve">THE 4% RULE — THE MATHS</t>
  </si>
  <si>
    <t xml:space="preserve">The Trinity Study (1994) showed a portfolio in a balanced mix of stocks and bonds can sustain a 4% annual withdrawal for 30+ years across almost all historical market conditions.</t>
  </si>
  <si>
    <t xml:space="preserve">4% of portfolio = expenses  →  portfolio = expenses ÷ 4%  =  expenses × 25</t>
  </si>
  <si>
    <t xml:space="preserve">IMPORTANT CAVEATS</t>
  </si>
  <si>
    <t xml:space="preserve">•  Returns are not guaranteed — markets fluctuate year to year.</t>
  </si>
  <si>
    <t xml:space="preserve">•  This model does not adjust for inflation. For 'real' planning use a return of 4–5% net of inflation.</t>
  </si>
  <si>
    <t xml:space="preserve">•  The 4% rule assumes a roughly 60/40 stock/bond portfolio.</t>
  </si>
  <si>
    <t xml:space="preserve">•  This tool is for educational purposes — consult a financial adviser for personalised advice.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</si>
</sst>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€#,##0"/>
    <numFmt numFmtId="166" formatCode="0&quot; yrs&quot;"/>
    <numFmt numFmtId="167" formatCode="0&quot; years&quot;"/>
    <numFmt numFmtId="168" formatCode="0.0%"/>
    <numFmt numFmtId="169" formatCode="0.00%"/>
    <numFmt numFmtId="170" formatCode="\€#,##0&quot; /mo&quot;"/>
    <numFmt numFmtId="171" formatCode="\€#,##0&quot; /mo surplus&quot;;&quot;(€&quot;#,##0&quot; /mo gap)&quot;;\-"/>
    <numFmt numFmtId="172" formatCode="\€#,##0;&quot;(€&quot;#,##0\);\-"/>
    <numFmt numFmtId="173" formatCode="\€#,##0&quot; /yr&quot;"/>
    <numFmt numFmtId="174" formatCode="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0F6E56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4"/>
      <color rgb="FF0F6E56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0F6E56"/>
      <name val="Arial"/>
      <family val="0"/>
      <charset val="1"/>
    </font>
    <font>
      <i val="true"/>
      <sz val="10"/>
      <color rgb="FF444444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F6E56"/>
        <bgColor rgb="FF008080"/>
      </patternFill>
    </fill>
    <fill>
      <patternFill patternType="solid">
        <fgColor rgb="FF1D9E75"/>
        <bgColor rgb="FF008080"/>
      </patternFill>
    </fill>
    <fill>
      <patternFill patternType="solid">
        <fgColor rgb="FFE1F5EE"/>
        <bgColor rgb="FFE2EFDA"/>
      </patternFill>
    </fill>
    <fill>
      <patternFill patternType="solid">
        <fgColor rgb="FFF0FAF6"/>
        <bgColor rgb="FFF5F5F5"/>
      </patternFill>
    </fill>
    <fill>
      <patternFill patternType="solid">
        <fgColor rgb="FFFFFACD"/>
        <bgColor rgb="FFF5F5F5"/>
      </patternFill>
    </fill>
    <fill>
      <patternFill patternType="solid">
        <fgColor rgb="FFF5F5F5"/>
        <bgColor rgb="FFF0FAF6"/>
      </patternFill>
    </fill>
    <fill>
      <patternFill patternType="solid">
        <fgColor rgb="FFF9FDFB"/>
        <bgColor rgb="FFFFFFFF"/>
      </patternFill>
    </fill>
    <fill>
      <patternFill patternType="solid">
        <fgColor rgb="FFFFFFFF"/>
        <bgColor rgb="FFF9FDFB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 style="thin">
        <color rgb="FF1D9E75"/>
      </left>
      <right style="thin">
        <color rgb="FF1D9E75"/>
      </right>
      <top style="thin">
        <color rgb="FF1D9E75"/>
      </top>
      <bottom style="thin">
        <color rgb="FF1D9E75"/>
      </bottom>
      <diagonal/>
    </border>
    <border diagonalUp="false" diagonalDown="false">
      <left/>
      <right/>
      <top/>
      <bottom style="thin">
        <color rgb="FF1D9E7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0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375623"/>
      </font>
      <fill>
        <patternFill>
          <bgColor rgb="FFE2EFDA"/>
        </patternFill>
      </fill>
    </dxf>
    <dxf>
      <font>
        <name val="Arial"/>
        <charset val="1"/>
        <family val="0"/>
        <b val="1"/>
        <color rgb="FFC00000"/>
      </font>
      <fill>
        <patternFill>
          <bgColor rgb="FFFCE4D6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6E56"/>
      <rgbColor rgb="FFCCCCCC"/>
      <rgbColor rgb="FF878787"/>
      <rgbColor rgb="FFAAAAAA"/>
      <rgbColor rgb="FF993366"/>
      <rgbColor rgb="FFFFFACD"/>
      <rgbColor rgb="FFE1F5EE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AF6"/>
      <rgbColor rgb="FFE2EFDA"/>
      <rgbColor rgb="FFF5F5F5"/>
      <rgbColor rgb="FFF9FDFB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888888"/>
      <rgbColor rgb="FF003366"/>
      <rgbColor rgb="FF1D9E75"/>
      <rgbColor rgb="FF003300"/>
      <rgbColor rgb="FF375623"/>
      <rgbColor rgb="FF993300"/>
      <rgbColor rgb="FF993366"/>
      <rgbColor rgb="FF555555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Portfolio Growth vs. Retirement Target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'📈 Projection'!C6</c:f>
              <c:strCache>
                <c:ptCount val="1"/>
                <c:pt idx="0">
                  <c:v>Portfolio Value</c:v>
                </c:pt>
              </c:strCache>
            </c:strRef>
          </c:tx>
          <c:spPr>
            <a:solidFill>
              <a:srgbClr val="1d9e75"/>
            </a:solidFill>
            <a:ln w="20160">
              <a:solidFill>
                <a:srgbClr val="1d9e7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Projection'!$B$7:$B$57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strCache>
            </c:strRef>
          </c:cat>
          <c:val>
            <c:numRef>
              <c:f>'📈 Projection'!$C$7:$C$57</c:f>
              <c:numCache>
                <c:formatCode>\€#,##0</c:formatCode>
                <c:ptCount val="51"/>
                <c:pt idx="0">
                  <c:v>50000</c:v>
                </c:pt>
                <c:pt idx="1">
                  <c:v>66007.0893324522</c:v>
                </c:pt>
                <c:pt idx="2">
                  <c:v>83171.3324470204</c:v>
                </c:pt>
                <c:pt idx="3">
                  <c:v>101576.380084177</c:v>
                </c:pt>
                <c:pt idx="4">
                  <c:v>121311.930103186</c:v>
                </c:pt>
                <c:pt idx="5">
                  <c:v>142474.164628812</c:v>
                </c:pt>
                <c:pt idx="6">
                  <c:v>165166.218799394</c:v>
                </c:pt>
                <c:pt idx="7">
                  <c:v>189498.683400761</c:v>
                </c:pt>
                <c:pt idx="8">
                  <c:v>215590.143835593</c:v>
                </c:pt>
                <c:pt idx="9">
                  <c:v>243567.758054916</c:v>
                </c:pt>
                <c:pt idx="10">
                  <c:v>273567.876268318</c:v>
                </c:pt>
                <c:pt idx="11">
                  <c:v>305736.705453064</c:v>
                </c:pt>
                <c:pt idx="12">
                  <c:v>340231.021900626</c:v>
                </c:pt>
                <c:pt idx="13">
                  <c:v>377218.935273262</c:v>
                </c:pt>
                <c:pt idx="14">
                  <c:v>416880.70789431</c:v>
                </c:pt>
                <c:pt idx="15">
                  <c:v>459409.633265035</c:v>
                </c:pt>
                <c:pt idx="16">
                  <c:v>505012.978089538</c:v>
                </c:pt>
                <c:pt idx="17">
                  <c:v>553912.99239872</c:v>
                </c:pt>
                <c:pt idx="18">
                  <c:v>606347.992696184</c:v>
                </c:pt>
                <c:pt idx="19">
                  <c:v>662573.523404848</c:v>
                </c:pt>
                <c:pt idx="20">
                  <c:v>722863.602274625</c:v>
                </c:pt>
                <c:pt idx="21">
                  <c:v>787512.055820729</c:v>
                </c:pt>
                <c:pt idx="22">
                  <c:v>787512.055820729</c:v>
                </c:pt>
                <c:pt idx="23">
                  <c:v>787512.055820729</c:v>
                </c:pt>
                <c:pt idx="24">
                  <c:v>787512.055820729</c:v>
                </c:pt>
                <c:pt idx="25">
                  <c:v>787512.055820729</c:v>
                </c:pt>
                <c:pt idx="26">
                  <c:v>787512.055820729</c:v>
                </c:pt>
                <c:pt idx="27">
                  <c:v>787512.055820729</c:v>
                </c:pt>
                <c:pt idx="28">
                  <c:v>787512.055820729</c:v>
                </c:pt>
                <c:pt idx="29">
                  <c:v>787512.055820729</c:v>
                </c:pt>
                <c:pt idx="30">
                  <c:v>787512.055820729</c:v>
                </c:pt>
                <c:pt idx="31">
                  <c:v>787512.055820729</c:v>
                </c:pt>
                <c:pt idx="32">
                  <c:v>787512.055820729</c:v>
                </c:pt>
                <c:pt idx="33">
                  <c:v>787512.055820729</c:v>
                </c:pt>
                <c:pt idx="34">
                  <c:v>787512.055820729</c:v>
                </c:pt>
                <c:pt idx="35">
                  <c:v>787512.055820729</c:v>
                </c:pt>
                <c:pt idx="36">
                  <c:v>787512.055820729</c:v>
                </c:pt>
                <c:pt idx="37">
                  <c:v>787512.055820729</c:v>
                </c:pt>
                <c:pt idx="38">
                  <c:v>787512.055820729</c:v>
                </c:pt>
                <c:pt idx="39">
                  <c:v>787512.055820729</c:v>
                </c:pt>
                <c:pt idx="40">
                  <c:v>787512.055820729</c:v>
                </c:pt>
                <c:pt idx="41">
                  <c:v>787512.055820729</c:v>
                </c:pt>
                <c:pt idx="42">
                  <c:v>787512.055820729</c:v>
                </c:pt>
                <c:pt idx="43">
                  <c:v>787512.055820729</c:v>
                </c:pt>
                <c:pt idx="44">
                  <c:v>787512.055820729</c:v>
                </c:pt>
                <c:pt idx="45">
                  <c:v>787512.055820729</c:v>
                </c:pt>
                <c:pt idx="46">
                  <c:v>787512.055820729</c:v>
                </c:pt>
                <c:pt idx="47">
                  <c:v>787512.055820729</c:v>
                </c:pt>
                <c:pt idx="48">
                  <c:v>787512.055820729</c:v>
                </c:pt>
                <c:pt idx="49">
                  <c:v>787512.055820729</c:v>
                </c:pt>
                <c:pt idx="50">
                  <c:v>787512.055820729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'📈 Projection'!D6</c:f>
              <c:strCache>
                <c:ptCount val="1"/>
                <c:pt idx="0">
                  <c:v>Retirement Target</c:v>
                </c:pt>
              </c:strCache>
            </c:strRef>
          </c:tx>
          <c:spPr>
            <a:solidFill>
              <a:srgbClr val="aaaaaa"/>
            </a:solidFill>
            <a:ln w="15120">
              <a:solidFill>
                <a:srgbClr val="aaaaaa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Projection'!$B$7:$B$57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strCache>
            </c:strRef>
          </c:cat>
          <c:val>
            <c:numRef>
              <c:f>'📈 Projection'!$D$7:$D$57</c:f>
              <c:numCache>
                <c:formatCode>\€#,##0</c:formatCode>
                <c:ptCount val="51"/>
                <c:pt idx="0">
                  <c:v>750000</c:v>
                </c:pt>
                <c:pt idx="1">
                  <c:v>750000</c:v>
                </c:pt>
                <c:pt idx="2">
                  <c:v>750000</c:v>
                </c:pt>
                <c:pt idx="3">
                  <c:v>750000</c:v>
                </c:pt>
                <c:pt idx="4">
                  <c:v>750000</c:v>
                </c:pt>
                <c:pt idx="5">
                  <c:v>750000</c:v>
                </c:pt>
                <c:pt idx="6">
                  <c:v>750000</c:v>
                </c:pt>
                <c:pt idx="7">
                  <c:v>750000</c:v>
                </c:pt>
                <c:pt idx="8">
                  <c:v>750000</c:v>
                </c:pt>
                <c:pt idx="9">
                  <c:v>750000</c:v>
                </c:pt>
                <c:pt idx="10">
                  <c:v>750000</c:v>
                </c:pt>
                <c:pt idx="11">
                  <c:v>750000</c:v>
                </c:pt>
                <c:pt idx="12">
                  <c:v>750000</c:v>
                </c:pt>
                <c:pt idx="13">
                  <c:v>750000</c:v>
                </c:pt>
                <c:pt idx="14">
                  <c:v>750000</c:v>
                </c:pt>
                <c:pt idx="15">
                  <c:v>750000</c:v>
                </c:pt>
                <c:pt idx="16">
                  <c:v>750000</c:v>
                </c:pt>
                <c:pt idx="17">
                  <c:v>750000</c:v>
                </c:pt>
                <c:pt idx="18">
                  <c:v>750000</c:v>
                </c:pt>
                <c:pt idx="19">
                  <c:v>750000</c:v>
                </c:pt>
                <c:pt idx="20">
                  <c:v>750000</c:v>
                </c:pt>
                <c:pt idx="21">
                  <c:v>750000</c:v>
                </c:pt>
                <c:pt idx="22">
                  <c:v>750000</c:v>
                </c:pt>
                <c:pt idx="23">
                  <c:v>750000</c:v>
                </c:pt>
                <c:pt idx="24">
                  <c:v>750000</c:v>
                </c:pt>
                <c:pt idx="25">
                  <c:v>750000</c:v>
                </c:pt>
                <c:pt idx="26">
                  <c:v>750000</c:v>
                </c:pt>
                <c:pt idx="27">
                  <c:v>750000</c:v>
                </c:pt>
                <c:pt idx="28">
                  <c:v>750000</c:v>
                </c:pt>
                <c:pt idx="29">
                  <c:v>750000</c:v>
                </c:pt>
                <c:pt idx="30">
                  <c:v>750000</c:v>
                </c:pt>
                <c:pt idx="31">
                  <c:v>750000</c:v>
                </c:pt>
                <c:pt idx="32">
                  <c:v>750000</c:v>
                </c:pt>
                <c:pt idx="33">
                  <c:v>750000</c:v>
                </c:pt>
                <c:pt idx="34">
                  <c:v>750000</c:v>
                </c:pt>
                <c:pt idx="35">
                  <c:v>750000</c:v>
                </c:pt>
                <c:pt idx="36">
                  <c:v>750000</c:v>
                </c:pt>
                <c:pt idx="37">
                  <c:v>750000</c:v>
                </c:pt>
                <c:pt idx="38">
                  <c:v>750000</c:v>
                </c:pt>
                <c:pt idx="39">
                  <c:v>750000</c:v>
                </c:pt>
                <c:pt idx="40">
                  <c:v>750000</c:v>
                </c:pt>
                <c:pt idx="41">
                  <c:v>750000</c:v>
                </c:pt>
                <c:pt idx="42">
                  <c:v>750000</c:v>
                </c:pt>
                <c:pt idx="43">
                  <c:v>750000</c:v>
                </c:pt>
                <c:pt idx="44">
                  <c:v>750000</c:v>
                </c:pt>
                <c:pt idx="45">
                  <c:v>750000</c:v>
                </c:pt>
                <c:pt idx="46">
                  <c:v>750000</c:v>
                </c:pt>
                <c:pt idx="47">
                  <c:v>750000</c:v>
                </c:pt>
                <c:pt idx="48">
                  <c:v>750000</c:v>
                </c:pt>
                <c:pt idx="49">
                  <c:v>750000</c:v>
                </c:pt>
                <c:pt idx="50">
                  <c:v>750000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3601525"/>
        <c:axId val="43675156"/>
      </c:lineChart>
      <c:catAx>
        <c:axId val="736015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675156"/>
        <c:crosses val="autoZero"/>
        <c:auto val="1"/>
        <c:lblAlgn val="ctr"/>
        <c:lblOffset val="100"/>
        <c:noMultiLvlLbl val="0"/>
      </c:catAx>
      <c:valAx>
        <c:axId val="4367515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Value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€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60152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58</xdr:row>
      <xdr:rowOff>0</xdr:rowOff>
    </xdr:from>
    <xdr:to>
      <xdr:col>12</xdr:col>
      <xdr:colOff>114840</xdr:colOff>
      <xdr:row>84</xdr:row>
      <xdr:rowOff>86400</xdr:rowOff>
    </xdr:to>
    <xdr:graphicFrame>
      <xdr:nvGraphicFramePr>
        <xdr:cNvPr id="0" name="Chart 1"/>
        <xdr:cNvGraphicFramePr/>
      </xdr:nvGraphicFramePr>
      <xdr:xfrm>
        <a:off x="141120" y="13039560"/>
        <a:ext cx="1007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6E56"/>
    <pageSetUpPr fitToPage="false"/>
  </sheetPr>
  <dimension ref="B1:G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3" min="3" style="0" width="20"/>
    <col collapsed="false" customWidth="true" hidden="false" outlineLevel="0" max="4" min="4" style="0" width="3"/>
    <col collapsed="false" customWidth="true" hidden="false" outlineLevel="0" max="5" min="5" style="0" width="28"/>
    <col collapsed="false" customWidth="true" hidden="false" outlineLevel="0" max="6" min="6" style="0" width="20"/>
    <col collapsed="false" customWidth="true" hidden="false" outlineLevel="0" max="7" min="7" style="0" width="2"/>
  </cols>
  <sheetData>
    <row r="1" customFormat="false" ht="6" hidden="false" customHeight="true" outlineLevel="0" collapsed="false"/>
    <row r="2" customFormat="false" ht="27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15.75" hidden="false" customHeight="true" outlineLevel="0" collapsed="false">
      <c r="B3" s="1"/>
      <c r="C3" s="1"/>
      <c r="D3" s="1"/>
      <c r="E3" s="1"/>
      <c r="F3" s="1"/>
    </row>
    <row r="4" customFormat="false" ht="18" hidden="false" customHeight="true" outlineLevel="0" collapsed="false">
      <c r="B4" s="2" t="s">
        <v>1</v>
      </c>
      <c r="C4" s="2"/>
      <c r="D4" s="2"/>
      <c r="E4" s="2"/>
      <c r="F4" s="2"/>
    </row>
    <row r="5" customFormat="false" ht="7.5" hidden="false" customHeight="true" outlineLevel="0" collapsed="false"/>
    <row r="6" customFormat="false" ht="19.5" hidden="false" customHeight="true" outlineLevel="0" collapsed="false">
      <c r="B6" s="3" t="s">
        <v>2</v>
      </c>
      <c r="C6" s="3"/>
      <c r="E6" s="3" t="s">
        <v>3</v>
      </c>
      <c r="F6" s="3"/>
    </row>
    <row r="7" customFormat="false" ht="21.75" hidden="false" customHeight="true" outlineLevel="0" collapsed="false">
      <c r="B7" s="4" t="s">
        <v>4</v>
      </c>
      <c r="C7" s="5" t="n">
        <v>30000</v>
      </c>
      <c r="E7" s="4" t="s">
        <v>5</v>
      </c>
      <c r="F7" s="6" t="n">
        <v>35</v>
      </c>
      <c r="G7" s="7"/>
    </row>
    <row r="8" customFormat="false" ht="21.75" hidden="false" customHeight="true" outlineLevel="0" collapsed="false">
      <c r="B8" s="4" t="s">
        <v>6</v>
      </c>
      <c r="C8" s="5" t="n">
        <v>50000</v>
      </c>
      <c r="E8" s="4" t="s">
        <v>7</v>
      </c>
      <c r="F8" s="6" t="n">
        <v>60</v>
      </c>
      <c r="G8" s="7"/>
    </row>
    <row r="9" customFormat="false" ht="21.75" hidden="false" customHeight="true" outlineLevel="0" collapsed="false">
      <c r="B9" s="4" t="s">
        <v>8</v>
      </c>
      <c r="C9" s="5" t="n">
        <v>1000</v>
      </c>
      <c r="E9" s="8" t="s">
        <v>9</v>
      </c>
      <c r="F9" s="9" t="n">
        <f aca="false">F8-F7</f>
        <v>25</v>
      </c>
    </row>
    <row r="10" customFormat="false" ht="21.75" hidden="false" customHeight="true" outlineLevel="0" collapsed="false">
      <c r="B10" s="4" t="s">
        <v>10</v>
      </c>
      <c r="C10" s="10" t="n">
        <v>0.07</v>
      </c>
      <c r="E10" s="8" t="s">
        <v>11</v>
      </c>
      <c r="F10" s="11" t="n">
        <f aca="false">C7*25</f>
        <v>750000</v>
      </c>
    </row>
    <row r="11" customFormat="false" ht="7.5" hidden="false" customHeight="true" outlineLevel="0" collapsed="false"/>
    <row r="12" customFormat="false" ht="19.5" hidden="false" customHeight="true" outlineLevel="0" collapsed="false">
      <c r="B12" s="3" t="s">
        <v>12</v>
      </c>
      <c r="C12" s="3"/>
      <c r="D12" s="3"/>
      <c r="E12" s="3"/>
      <c r="F12" s="3"/>
    </row>
    <row r="13" customFormat="false" ht="21.75" hidden="false" customHeight="true" outlineLevel="0" collapsed="false">
      <c r="B13" s="12" t="s">
        <v>13</v>
      </c>
      <c r="C13" s="13" t="n">
        <f aca="false">IFERROR(RATE(F9*12,-C9,-C8,F10)*12,"Cannot achieve")</f>
        <v>0.0484972022614745</v>
      </c>
      <c r="E13" s="14" t="s">
        <v>14</v>
      </c>
      <c r="F13" s="14"/>
    </row>
    <row r="14" customFormat="false" ht="19.5" hidden="false" customHeight="true" outlineLevel="0" collapsed="false">
      <c r="B14" s="15" t="s">
        <v>15</v>
      </c>
      <c r="C14" s="16" t="str">
        <f aca="false">IF(IFERROR(RATE(F9*12,-C9,-C8,F10)*12,99)&lt;=0.12,"✔  Achievable with index funds",IF(IFERROR(RATE(F9*12,-C9,-C8,F10)*12,99)&lt;=0.2,"⚠  Ambitious — needs strong returns","✘  Increase contribution or extend timeline"))</f>
        <v>✔  Achievable with index funds</v>
      </c>
      <c r="D14" s="16"/>
      <c r="E14" s="16"/>
      <c r="F14" s="16"/>
    </row>
    <row r="15" customFormat="false" ht="7.5" hidden="false" customHeight="true" outlineLevel="0" collapsed="false"/>
    <row r="16" customFormat="false" ht="19.5" hidden="false" customHeight="true" outlineLevel="0" collapsed="false">
      <c r="B16" s="3" t="s">
        <v>16</v>
      </c>
      <c r="C16" s="3"/>
      <c r="D16" s="3"/>
      <c r="E16" s="3"/>
      <c r="F16" s="3"/>
    </row>
    <row r="17" customFormat="false" ht="21.75" hidden="false" customHeight="true" outlineLevel="0" collapsed="false">
      <c r="B17" s="12" t="s">
        <v>17</v>
      </c>
      <c r="C17" s="17" t="n">
        <f aca="false">IFERROR(-PMT(C10/12,F9*12,-C8,F10),"Cannot calculate")</f>
        <v>572.454380925642</v>
      </c>
      <c r="E17" s="14" t="s">
        <v>18</v>
      </c>
      <c r="F17" s="14"/>
    </row>
    <row r="18" customFormat="false" ht="19.5" hidden="false" customHeight="true" outlineLevel="0" collapsed="false">
      <c r="B18" s="15" t="s">
        <v>19</v>
      </c>
      <c r="C18" s="18" t="n">
        <f aca="false">IFERROR(C9-(-PMT(C10/12,F9*12,-C8,F10)),"N/A")</f>
        <v>427.545619074358</v>
      </c>
      <c r="E18" s="19" t="s">
        <v>20</v>
      </c>
      <c r="F18" s="19"/>
    </row>
    <row r="19" customFormat="false" ht="7.5" hidden="false" customHeight="true" outlineLevel="0" collapsed="false"/>
    <row r="20" customFormat="false" ht="19.5" hidden="false" customHeight="true" outlineLevel="0" collapsed="false">
      <c r="B20" s="3" t="s">
        <v>21</v>
      </c>
      <c r="C20" s="3"/>
      <c r="D20" s="3"/>
      <c r="E20" s="3"/>
      <c r="F20" s="3"/>
    </row>
    <row r="21" customFormat="false" ht="19.5" hidden="false" customHeight="true" outlineLevel="0" collapsed="false">
      <c r="B21" s="12" t="s">
        <v>22</v>
      </c>
      <c r="C21" s="20" t="n">
        <f aca="false">IFERROR(FV(C10/12,F9*12,-C9,-C8),0)</f>
        <v>1096342.60348819</v>
      </c>
      <c r="E21" s="21" t="s">
        <v>23</v>
      </c>
      <c r="F21" s="21"/>
    </row>
    <row r="22" customFormat="false" ht="19.5" hidden="false" customHeight="true" outlineLevel="0" collapsed="false">
      <c r="B22" s="12" t="s">
        <v>24</v>
      </c>
      <c r="C22" s="20" t="n">
        <f aca="false">F10</f>
        <v>750000</v>
      </c>
      <c r="E22" s="21" t="s">
        <v>25</v>
      </c>
      <c r="F22" s="21"/>
    </row>
    <row r="23" customFormat="false" ht="19.5" hidden="false" customHeight="true" outlineLevel="0" collapsed="false">
      <c r="B23" s="12" t="s">
        <v>26</v>
      </c>
      <c r="C23" s="22" t="n">
        <f aca="false">IFERROR(FV(C10/12,F9*12,-C9,-C8)-F10,0)</f>
        <v>346342.603488185</v>
      </c>
      <c r="E23" s="21" t="s">
        <v>27</v>
      </c>
      <c r="F23" s="21"/>
    </row>
    <row r="24" customFormat="false" ht="19.5" hidden="false" customHeight="true" outlineLevel="0" collapsed="false">
      <c r="B24" s="12" t="s">
        <v>28</v>
      </c>
      <c r="C24" s="23" t="n">
        <f aca="false">C8/F10</f>
        <v>0.0666666666666667</v>
      </c>
      <c r="E24" s="21" t="s">
        <v>29</v>
      </c>
      <c r="F24" s="21"/>
    </row>
    <row r="25" customFormat="false" ht="19.5" hidden="false" customHeight="true" outlineLevel="0" collapsed="false">
      <c r="B25" s="12" t="s">
        <v>30</v>
      </c>
      <c r="C25" s="24" t="n">
        <f aca="false">IFERROR(FV(C10/12,F9*12,-C9,-C8)*0.04,0)</f>
        <v>43853.7041395274</v>
      </c>
      <c r="E25" s="21" t="s">
        <v>31</v>
      </c>
      <c r="F25" s="21"/>
    </row>
    <row r="26" customFormat="false" ht="19.5" hidden="false" customHeight="true" outlineLevel="0" collapsed="false">
      <c r="B26" s="12" t="s">
        <v>32</v>
      </c>
      <c r="C26" s="25" t="n">
        <f aca="false">IFERROR(FV(C10/12,F9*12,-C9,-C8)*0.04/12,0)</f>
        <v>3654.47534496062</v>
      </c>
      <c r="E26" s="21"/>
      <c r="F26" s="21"/>
    </row>
    <row r="27" customFormat="false" ht="7.5" hidden="false" customHeight="true" outlineLevel="0" collapsed="false"/>
    <row r="28" customFormat="false" ht="19.5" hidden="false" customHeight="true" outlineLevel="0" collapsed="false">
      <c r="B28" s="3" t="s">
        <v>33</v>
      </c>
      <c r="C28" s="3"/>
      <c r="D28" s="3"/>
      <c r="E28" s="3"/>
      <c r="F28" s="3"/>
    </row>
    <row r="29" customFormat="false" ht="19.5" hidden="false" customHeight="true" outlineLevel="0" collapsed="false">
      <c r="B29" s="26" t="s">
        <v>34</v>
      </c>
      <c r="C29" s="26" t="s">
        <v>11</v>
      </c>
      <c r="D29" s="26" t="s">
        <v>35</v>
      </c>
      <c r="E29" s="26" t="s">
        <v>36</v>
      </c>
      <c r="F29" s="26" t="s">
        <v>37</v>
      </c>
    </row>
    <row r="30" customFormat="false" ht="18.75" hidden="false" customHeight="true" outlineLevel="0" collapsed="false">
      <c r="B30" s="27" t="n">
        <v>20000</v>
      </c>
      <c r="C30" s="28" t="n">
        <v>500000</v>
      </c>
      <c r="D30" s="27" t="n">
        <f aca="false">-PMT(0.07/12,300,0,500000)</f>
        <v>617.229319708792</v>
      </c>
      <c r="E30" s="27" t="n">
        <f aca="false">-PMT(0.07/12,360,0,500000)</f>
        <v>409.845809229249</v>
      </c>
      <c r="F30" s="27" t="n">
        <f aca="false">-PMT(0.05/12,300,0,500000)</f>
        <v>839.616874206562</v>
      </c>
    </row>
    <row r="31" customFormat="false" ht="18.75" hidden="false" customHeight="true" outlineLevel="0" collapsed="false">
      <c r="B31" s="29" t="n">
        <v>25000</v>
      </c>
      <c r="C31" s="30" t="n">
        <v>625000</v>
      </c>
      <c r="D31" s="29" t="n">
        <f aca="false">-PMT(0.07/12,300,0,625000)</f>
        <v>771.53664963599</v>
      </c>
      <c r="E31" s="29" t="n">
        <f aca="false">-PMT(0.07/12,360,0,625000)</f>
        <v>512.307261536561</v>
      </c>
      <c r="F31" s="29" t="n">
        <f aca="false">-PMT(0.05/12,300,0,625000)</f>
        <v>1049.5210927582</v>
      </c>
    </row>
    <row r="32" customFormat="false" ht="18.75" hidden="false" customHeight="true" outlineLevel="0" collapsed="false">
      <c r="B32" s="27" t="n">
        <v>30000</v>
      </c>
      <c r="C32" s="28" t="n">
        <v>750000</v>
      </c>
      <c r="D32" s="27" t="n">
        <f aca="false">-PMT(0.07/12,300,0,750000)</f>
        <v>925.843979563188</v>
      </c>
      <c r="E32" s="27" t="n">
        <f aca="false">-PMT(0.07/12,360,0,750000)</f>
        <v>614.768713843874</v>
      </c>
      <c r="F32" s="27" t="n">
        <f aca="false">-PMT(0.05/12,300,0,750000)</f>
        <v>1259.42531130984</v>
      </c>
    </row>
    <row r="33" customFormat="false" ht="18.75" hidden="false" customHeight="true" outlineLevel="0" collapsed="false">
      <c r="B33" s="29" t="n">
        <v>35000</v>
      </c>
      <c r="C33" s="30" t="n">
        <v>875000</v>
      </c>
      <c r="D33" s="29" t="n">
        <f aca="false">-PMT(0.07/12,300,0,875000)</f>
        <v>1080.15130949039</v>
      </c>
      <c r="E33" s="29" t="n">
        <f aca="false">-PMT(0.07/12,360,0,875000)</f>
        <v>717.230166151186</v>
      </c>
      <c r="F33" s="29" t="n">
        <f aca="false">-PMT(0.05/12,300,0,875000)</f>
        <v>1469.32952986148</v>
      </c>
    </row>
    <row r="34" customFormat="false" ht="18.75" hidden="false" customHeight="true" outlineLevel="0" collapsed="false">
      <c r="B34" s="27" t="n">
        <v>40000</v>
      </c>
      <c r="C34" s="28" t="n">
        <v>1000000</v>
      </c>
      <c r="D34" s="27" t="n">
        <f aca="false">-PMT(0.07/12,300,0,1000000)</f>
        <v>1234.45863941758</v>
      </c>
      <c r="E34" s="27" t="n">
        <f aca="false">-PMT(0.07/12,360,0,1000000)</f>
        <v>819.691618458498</v>
      </c>
      <c r="F34" s="27" t="n">
        <f aca="false">-PMT(0.05/12,300,0,1000000)</f>
        <v>1679.23374841312</v>
      </c>
    </row>
    <row r="35" customFormat="false" ht="18.75" hidden="false" customHeight="true" outlineLevel="0" collapsed="false">
      <c r="B35" s="29" t="n">
        <v>50000</v>
      </c>
      <c r="C35" s="30" t="n">
        <v>1250000</v>
      </c>
      <c r="D35" s="29" t="n">
        <f aca="false">-PMT(0.07/12,300,0,1250000)</f>
        <v>1543.07329927198</v>
      </c>
      <c r="E35" s="29" t="n">
        <f aca="false">-PMT(0.07/12,360,0,1250000)</f>
        <v>1024.61452307312</v>
      </c>
      <c r="F35" s="29" t="n">
        <f aca="false">-PMT(0.05/12,300,0,1250000)</f>
        <v>2099.0421855164</v>
      </c>
    </row>
    <row r="36" customFormat="false" ht="18.75" hidden="false" customHeight="true" outlineLevel="0" collapsed="false">
      <c r="B36" s="27" t="n">
        <v>60000</v>
      </c>
      <c r="C36" s="28" t="n">
        <v>1500000</v>
      </c>
      <c r="D36" s="27" t="n">
        <f aca="false">-PMT(0.07/12,300,0,1500000)</f>
        <v>1851.68795912638</v>
      </c>
      <c r="E36" s="27" t="n">
        <f aca="false">-PMT(0.07/12,360,0,1500000)</f>
        <v>1229.53742768775</v>
      </c>
      <c r="F36" s="27" t="n">
        <f aca="false">-PMT(0.05/12,300,0,1500000)</f>
        <v>2518.85062261969</v>
      </c>
    </row>
    <row r="37" customFormat="false" ht="18.75" hidden="false" customHeight="true" outlineLevel="0" collapsed="false">
      <c r="B37" s="29" t="n">
        <v>75000</v>
      </c>
      <c r="C37" s="30" t="n">
        <v>1875000</v>
      </c>
      <c r="D37" s="29" t="n">
        <f aca="false">-PMT(0.07/12,300,0,1875000)</f>
        <v>2314.60994890797</v>
      </c>
      <c r="E37" s="29" t="n">
        <f aca="false">-PMT(0.07/12,360,0,1875000)</f>
        <v>1536.92178460968</v>
      </c>
      <c r="F37" s="29" t="n">
        <f aca="false">-PMT(0.05/12,300,0,1875000)</f>
        <v>3148.56327827461</v>
      </c>
    </row>
    <row r="38" customFormat="false" ht="18.75" hidden="false" customHeight="true" outlineLevel="0" collapsed="false">
      <c r="B38" s="27" t="n">
        <v>100000</v>
      </c>
      <c r="C38" s="28" t="n">
        <v>2500000</v>
      </c>
      <c r="D38" s="27" t="n">
        <f aca="false">-PMT(0.07/12,300,0,2500000)</f>
        <v>3086.14659854396</v>
      </c>
      <c r="E38" s="27" t="n">
        <f aca="false">-PMT(0.07/12,360,0,2500000)</f>
        <v>2049.22904614625</v>
      </c>
      <c r="F38" s="27" t="n">
        <f aca="false">-PMT(0.05/12,300,0,2500000)</f>
        <v>4198.08437103281</v>
      </c>
    </row>
    <row r="39" customFormat="false" ht="6" hidden="false" customHeight="true" outlineLevel="0" collapsed="false"/>
    <row r="40" customFormat="false" ht="15" hidden="false" customHeight="false" outlineLevel="0" collapsed="false">
      <c r="B40" s="31" t="s">
        <v>38</v>
      </c>
      <c r="C40" s="31"/>
      <c r="D40" s="31"/>
      <c r="E40" s="31"/>
      <c r="F40" s="31"/>
    </row>
  </sheetData>
  <mergeCells count="19">
    <mergeCell ref="B2:F3"/>
    <mergeCell ref="B4:F4"/>
    <mergeCell ref="B6:C6"/>
    <mergeCell ref="E6:F6"/>
    <mergeCell ref="B12:F12"/>
    <mergeCell ref="E13:F13"/>
    <mergeCell ref="C14:F14"/>
    <mergeCell ref="B16:F16"/>
    <mergeCell ref="E17:F17"/>
    <mergeCell ref="E18:F18"/>
    <mergeCell ref="B20:F20"/>
    <mergeCell ref="E21:F21"/>
    <mergeCell ref="E22:F22"/>
    <mergeCell ref="E23:F23"/>
    <mergeCell ref="E24:F24"/>
    <mergeCell ref="E25:F25"/>
    <mergeCell ref="E26:F26"/>
    <mergeCell ref="B28:F28"/>
    <mergeCell ref="B40:F40"/>
  </mergeCells>
  <conditionalFormatting sqref="C2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D9E75"/>
    <pageSetUpPr fitToPage="false"/>
  </sheetPr>
  <dimension ref="B1:F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"/>
    <col collapsed="false" customWidth="true" hidden="false" outlineLevel="0" max="3" min="3" style="0" width="24"/>
    <col collapsed="false" customWidth="true" hidden="false" outlineLevel="0" max="4" min="4" style="0" width="22"/>
    <col collapsed="false" customWidth="true" hidden="false" outlineLevel="0" max="6" min="5" style="0" width="20"/>
    <col collapsed="false" customWidth="true" hidden="false" outlineLevel="0" max="7" min="7" style="0" width="2"/>
  </cols>
  <sheetData>
    <row r="1" customFormat="false" ht="6" hidden="false" customHeight="true" outlineLevel="0" collapsed="false"/>
    <row r="2" customFormat="false" ht="25.5" hidden="false" customHeight="true" outlineLevel="0" collapsed="false">
      <c r="B2" s="32" t="s">
        <v>39</v>
      </c>
      <c r="C2" s="32"/>
      <c r="D2" s="32"/>
      <c r="E2" s="32"/>
      <c r="F2" s="32"/>
    </row>
    <row r="3" customFormat="false" ht="15.75" hidden="false" customHeight="true" outlineLevel="0" collapsed="false">
      <c r="B3" s="32"/>
      <c r="C3" s="32"/>
      <c r="D3" s="32"/>
      <c r="E3" s="32"/>
      <c r="F3" s="32"/>
    </row>
    <row r="4" customFormat="false" ht="18" hidden="false" customHeight="true" outlineLevel="0" collapsed="false">
      <c r="B4" s="2" t="s">
        <v>40</v>
      </c>
      <c r="C4" s="2"/>
      <c r="D4" s="2"/>
      <c r="E4" s="2"/>
      <c r="F4" s="2"/>
    </row>
    <row r="5" customFormat="false" ht="7.5" hidden="false" customHeight="true" outlineLevel="0" collapsed="false"/>
    <row r="6" customFormat="false" ht="19.5" hidden="false" customHeight="true" outlineLevel="0" collapsed="false">
      <c r="B6" s="26" t="s">
        <v>41</v>
      </c>
      <c r="C6" s="26" t="s">
        <v>42</v>
      </c>
      <c r="D6" s="26" t="s">
        <v>24</v>
      </c>
      <c r="E6" s="26" t="s">
        <v>43</v>
      </c>
      <c r="F6" s="26" t="s">
        <v>44</v>
      </c>
    </row>
    <row r="7" customFormat="false" ht="19.5" hidden="false" customHeight="true" outlineLevel="0" collapsed="false">
      <c r="B7" s="33" t="n">
        <v>0</v>
      </c>
      <c r="C7" s="34" t="n">
        <f aca="false">'📊 Calculator'!C8</f>
        <v>50000</v>
      </c>
      <c r="D7" s="35" t="n">
        <f aca="false">'📊 Calculator'!F10</f>
        <v>750000</v>
      </c>
      <c r="E7" s="35" t="n">
        <f aca="false">MAX(0,D7-C7)</f>
        <v>700000</v>
      </c>
      <c r="F7" s="36" t="n">
        <f aca="false">MIN(1,C7/D7)</f>
        <v>0.0666666666666667</v>
      </c>
    </row>
    <row r="8" customFormat="false" ht="18" hidden="false" customHeight="true" outlineLevel="0" collapsed="false">
      <c r="B8" s="37" t="n">
        <v>1</v>
      </c>
      <c r="C8" s="30" t="n">
        <f aca="false">IF(C7&gt;='📊 Calculator'!F10, C7,C7*(1+'📊 Calculator'!C10/12)^12+'📊 Calculator'!C9*(((1+'📊 Calculator'!C10/12)^12-1)/('📊 Calculator'!C10/12)))</f>
        <v>66007.0893324522</v>
      </c>
      <c r="D8" s="29" t="n">
        <f aca="false">'📊 Calculator'!F10</f>
        <v>750000</v>
      </c>
      <c r="E8" s="29" t="n">
        <f aca="false">MAX(0,D8-C8)</f>
        <v>683992.910667548</v>
      </c>
      <c r="F8" s="38" t="n">
        <f aca="false">MIN(1,C8/D8)</f>
        <v>0.0880094524432697</v>
      </c>
    </row>
    <row r="9" customFormat="false" ht="18" hidden="false" customHeight="true" outlineLevel="0" collapsed="false">
      <c r="B9" s="39" t="n">
        <v>2</v>
      </c>
      <c r="C9" s="28" t="n">
        <f aca="false">IF(C8&gt;='📊 Calculator'!F10, C8,C8*(1+'📊 Calculator'!C10/12)^12+'📊 Calculator'!C9*(((1+'📊 Calculator'!C10/12)^12-1)/('📊 Calculator'!C10/12)))</f>
        <v>83171.3324470204</v>
      </c>
      <c r="D9" s="27" t="n">
        <f aca="false">'📊 Calculator'!F10</f>
        <v>750000</v>
      </c>
      <c r="E9" s="27" t="n">
        <f aca="false">MAX(0,D9-C9)</f>
        <v>666828.66755298</v>
      </c>
      <c r="F9" s="40" t="n">
        <f aca="false">MIN(1,C9/D9)</f>
        <v>0.110895109929361</v>
      </c>
    </row>
    <row r="10" customFormat="false" ht="18" hidden="false" customHeight="true" outlineLevel="0" collapsed="false">
      <c r="B10" s="37" t="n">
        <v>3</v>
      </c>
      <c r="C10" s="30" t="n">
        <f aca="false">IF(C9&gt;='📊 Calculator'!F10, C9,C9*(1+'📊 Calculator'!C10/12)^12+'📊 Calculator'!C9*(((1+'📊 Calculator'!C10/12)^12-1)/('📊 Calculator'!C10/12)))</f>
        <v>101576.380084177</v>
      </c>
      <c r="D10" s="29" t="n">
        <f aca="false">'📊 Calculator'!F10</f>
        <v>750000</v>
      </c>
      <c r="E10" s="29" t="n">
        <f aca="false">MAX(0,D10-C10)</f>
        <v>648423.619915823</v>
      </c>
      <c r="F10" s="38" t="n">
        <f aca="false">MIN(1,C10/D10)</f>
        <v>0.135435173445569</v>
      </c>
    </row>
    <row r="11" customFormat="false" ht="18" hidden="false" customHeight="true" outlineLevel="0" collapsed="false">
      <c r="B11" s="39" t="n">
        <v>4</v>
      </c>
      <c r="C11" s="28" t="n">
        <f aca="false">IF(C10&gt;='📊 Calculator'!F10, C10,C10*(1+'📊 Calculator'!C10/12)^12+'📊 Calculator'!C9*(((1+'📊 Calculator'!C10/12)^12-1)/('📊 Calculator'!C10/12)))</f>
        <v>121311.930103186</v>
      </c>
      <c r="D11" s="27" t="n">
        <f aca="false">'📊 Calculator'!F10</f>
        <v>750000</v>
      </c>
      <c r="E11" s="27" t="n">
        <f aca="false">MAX(0,D11-C11)</f>
        <v>628688.069896814</v>
      </c>
      <c r="F11" s="40" t="n">
        <f aca="false">MIN(1,C11/D11)</f>
        <v>0.161749240137582</v>
      </c>
    </row>
    <row r="12" customFormat="false" ht="18" hidden="false" customHeight="true" outlineLevel="0" collapsed="false">
      <c r="B12" s="37" t="n">
        <v>5</v>
      </c>
      <c r="C12" s="30" t="n">
        <f aca="false">IF(C11&gt;='📊 Calculator'!F10, C11,C11*(1+'📊 Calculator'!C10/12)^12+'📊 Calculator'!C9*(((1+'📊 Calculator'!C10/12)^12-1)/('📊 Calculator'!C10/12)))</f>
        <v>142474.164628812</v>
      </c>
      <c r="D12" s="29" t="n">
        <f aca="false">'📊 Calculator'!F10</f>
        <v>750000</v>
      </c>
      <c r="E12" s="29" t="n">
        <f aca="false">MAX(0,D12-C12)</f>
        <v>607525.835371188</v>
      </c>
      <c r="F12" s="38" t="n">
        <f aca="false">MIN(1,C12/D12)</f>
        <v>0.189965552838416</v>
      </c>
    </row>
    <row r="13" customFormat="false" ht="18" hidden="false" customHeight="true" outlineLevel="0" collapsed="false">
      <c r="B13" s="39" t="n">
        <v>6</v>
      </c>
      <c r="C13" s="28" t="n">
        <f aca="false">IF(C12&gt;='📊 Calculator'!F10, C12,C12*(1+'📊 Calculator'!C10/12)^12+'📊 Calculator'!C9*(((1+'📊 Calculator'!C10/12)^12-1)/('📊 Calculator'!C10/12)))</f>
        <v>165166.218799394</v>
      </c>
      <c r="D13" s="27" t="n">
        <f aca="false">'📊 Calculator'!F10</f>
        <v>750000</v>
      </c>
      <c r="E13" s="27" t="n">
        <f aca="false">MAX(0,D13-C13)</f>
        <v>584833.781200606</v>
      </c>
      <c r="F13" s="40" t="n">
        <f aca="false">MIN(1,C13/D13)</f>
        <v>0.220221625065859</v>
      </c>
    </row>
    <row r="14" customFormat="false" ht="18" hidden="false" customHeight="true" outlineLevel="0" collapsed="false">
      <c r="B14" s="37" t="n">
        <v>7</v>
      </c>
      <c r="C14" s="30" t="n">
        <f aca="false">IF(C13&gt;='📊 Calculator'!F10, C13,C13*(1+'📊 Calculator'!C10/12)^12+'📊 Calculator'!C9*(((1+'📊 Calculator'!C10/12)^12-1)/('📊 Calculator'!C10/12)))</f>
        <v>189498.683400761</v>
      </c>
      <c r="D14" s="29" t="n">
        <f aca="false">'📊 Calculator'!F10</f>
        <v>750000</v>
      </c>
      <c r="E14" s="29" t="n">
        <f aca="false">MAX(0,D14-C14)</f>
        <v>560501.316599239</v>
      </c>
      <c r="F14" s="38" t="n">
        <f aca="false">MIN(1,C14/D14)</f>
        <v>0.252664911201015</v>
      </c>
    </row>
    <row r="15" customFormat="false" ht="18" hidden="false" customHeight="true" outlineLevel="0" collapsed="false">
      <c r="B15" s="39" t="n">
        <v>8</v>
      </c>
      <c r="C15" s="28" t="n">
        <f aca="false">IF(C14&gt;='📊 Calculator'!F10, C14,C14*(1+'📊 Calculator'!C10/12)^12+'📊 Calculator'!C9*(((1+'📊 Calculator'!C10/12)^12-1)/('📊 Calculator'!C10/12)))</f>
        <v>215590.143835593</v>
      </c>
      <c r="D15" s="27" t="n">
        <f aca="false">'📊 Calculator'!F10</f>
        <v>750000</v>
      </c>
      <c r="E15" s="27" t="n">
        <f aca="false">MAX(0,D15-C15)</f>
        <v>534409.856164407</v>
      </c>
      <c r="F15" s="40" t="n">
        <f aca="false">MIN(1,C15/D15)</f>
        <v>0.287453525114124</v>
      </c>
    </row>
    <row r="16" customFormat="false" ht="18" hidden="false" customHeight="true" outlineLevel="0" collapsed="false">
      <c r="B16" s="37" t="n">
        <v>9</v>
      </c>
      <c r="C16" s="30" t="n">
        <f aca="false">IF(C15&gt;='📊 Calculator'!F10, C15,C15*(1+'📊 Calculator'!C10/12)^12+'📊 Calculator'!C9*(((1+'📊 Calculator'!C10/12)^12-1)/('📊 Calculator'!C10/12)))</f>
        <v>243567.758054916</v>
      </c>
      <c r="D16" s="29" t="n">
        <f aca="false">'📊 Calculator'!F10</f>
        <v>750000</v>
      </c>
      <c r="E16" s="29" t="n">
        <f aca="false">MAX(0,D16-C16)</f>
        <v>506432.241945084</v>
      </c>
      <c r="F16" s="38" t="n">
        <f aca="false">MIN(1,C16/D16)</f>
        <v>0.324757010739888</v>
      </c>
    </row>
    <row r="17" customFormat="false" ht="18" hidden="false" customHeight="true" outlineLevel="0" collapsed="false">
      <c r="B17" s="39" t="n">
        <v>10</v>
      </c>
      <c r="C17" s="28" t="n">
        <f aca="false">IF(C16&gt;='📊 Calculator'!F10, C16,C16*(1+'📊 Calculator'!C10/12)^12+'📊 Calculator'!C9*(((1+'📊 Calculator'!C10/12)^12-1)/('📊 Calculator'!C10/12)))</f>
        <v>273567.876268318</v>
      </c>
      <c r="D17" s="27" t="n">
        <f aca="false">'📊 Calculator'!F10</f>
        <v>750000</v>
      </c>
      <c r="E17" s="27" t="n">
        <f aca="false">MAX(0,D17-C17)</f>
        <v>476432.123731682</v>
      </c>
      <c r="F17" s="40" t="n">
        <f aca="false">MIN(1,C17/D17)</f>
        <v>0.364757168357758</v>
      </c>
    </row>
    <row r="18" customFormat="false" ht="18" hidden="false" customHeight="true" outlineLevel="0" collapsed="false">
      <c r="B18" s="37" t="n">
        <v>11</v>
      </c>
      <c r="C18" s="30" t="n">
        <f aca="false">IF(C17&gt;='📊 Calculator'!F10, C17,C17*(1+'📊 Calculator'!C10/12)^12+'📊 Calculator'!C9*(((1+'📊 Calculator'!C10/12)^12-1)/('📊 Calculator'!C10/12)))</f>
        <v>305736.705453064</v>
      </c>
      <c r="D18" s="29" t="n">
        <f aca="false">'📊 Calculator'!F10</f>
        <v>750000</v>
      </c>
      <c r="E18" s="29" t="n">
        <f aca="false">MAX(0,D18-C18)</f>
        <v>444263.294546936</v>
      </c>
      <c r="F18" s="38" t="n">
        <f aca="false">MIN(1,C18/D18)</f>
        <v>0.407648940604086</v>
      </c>
    </row>
    <row r="19" customFormat="false" ht="18" hidden="false" customHeight="true" outlineLevel="0" collapsed="false">
      <c r="B19" s="39" t="n">
        <v>12</v>
      </c>
      <c r="C19" s="28" t="n">
        <f aca="false">IF(C18&gt;='📊 Calculator'!F10, C18,C18*(1+'📊 Calculator'!C10/12)^12+'📊 Calculator'!C9*(((1+'📊 Calculator'!C10/12)^12-1)/('📊 Calculator'!C10/12)))</f>
        <v>340231.021900626</v>
      </c>
      <c r="D19" s="27" t="n">
        <f aca="false">'📊 Calculator'!F10</f>
        <v>750000</v>
      </c>
      <c r="E19" s="27" t="n">
        <f aca="false">MAX(0,D19-C19)</f>
        <v>409768.978099374</v>
      </c>
      <c r="F19" s="40" t="n">
        <f aca="false">MIN(1,C19/D19)</f>
        <v>0.453641362534168</v>
      </c>
    </row>
    <row r="20" customFormat="false" ht="18" hidden="false" customHeight="true" outlineLevel="0" collapsed="false">
      <c r="B20" s="37" t="n">
        <v>13</v>
      </c>
      <c r="C20" s="30" t="n">
        <f aca="false">IF(C19&gt;='📊 Calculator'!F10, C19,C19*(1+'📊 Calculator'!C10/12)^12+'📊 Calculator'!C9*(((1+'📊 Calculator'!C10/12)^12-1)/('📊 Calculator'!C10/12)))</f>
        <v>377218.935273262</v>
      </c>
      <c r="D20" s="29" t="n">
        <f aca="false">'📊 Calculator'!F10</f>
        <v>750000</v>
      </c>
      <c r="E20" s="29" t="n">
        <f aca="false">MAX(0,D20-C20)</f>
        <v>372781.064726738</v>
      </c>
      <c r="F20" s="38" t="n">
        <f aca="false">MIN(1,C20/D20)</f>
        <v>0.50295858036435</v>
      </c>
    </row>
    <row r="21" customFormat="false" ht="18" hidden="false" customHeight="true" outlineLevel="0" collapsed="false">
      <c r="B21" s="39" t="n">
        <v>14</v>
      </c>
      <c r="C21" s="28" t="n">
        <f aca="false">IF(C20&gt;='📊 Calculator'!F10, C20,C20*(1+'📊 Calculator'!C10/12)^12+'📊 Calculator'!C9*(((1+'📊 Calculator'!C10/12)^12-1)/('📊 Calculator'!C10/12)))</f>
        <v>416880.70789431</v>
      </c>
      <c r="D21" s="27" t="n">
        <f aca="false">'📊 Calculator'!F10</f>
        <v>750000</v>
      </c>
      <c r="E21" s="27" t="n">
        <f aca="false">MAX(0,D21-C21)</f>
        <v>333119.29210569</v>
      </c>
      <c r="F21" s="40" t="n">
        <f aca="false">MIN(1,C21/D21)</f>
        <v>0.55584094385908</v>
      </c>
    </row>
    <row r="22" customFormat="false" ht="18" hidden="false" customHeight="true" outlineLevel="0" collapsed="false">
      <c r="B22" s="37" t="n">
        <v>15</v>
      </c>
      <c r="C22" s="30" t="n">
        <f aca="false">IF(C21&gt;='📊 Calculator'!F10, C21,C21*(1+'📊 Calculator'!C10/12)^12+'📊 Calculator'!C9*(((1+'📊 Calculator'!C10/12)^12-1)/('📊 Calculator'!C10/12)))</f>
        <v>459409.633265035</v>
      </c>
      <c r="D22" s="29" t="n">
        <f aca="false">'📊 Calculator'!F10</f>
        <v>750000</v>
      </c>
      <c r="E22" s="29" t="n">
        <f aca="false">MAX(0,D22-C22)</f>
        <v>290590.366734965</v>
      </c>
      <c r="F22" s="38" t="n">
        <f aca="false">MIN(1,C22/D22)</f>
        <v>0.612546177686713</v>
      </c>
    </row>
    <row r="23" customFormat="false" ht="18" hidden="false" customHeight="true" outlineLevel="0" collapsed="false">
      <c r="B23" s="39" t="n">
        <v>16</v>
      </c>
      <c r="C23" s="28" t="n">
        <f aca="false">IF(C22&gt;='📊 Calculator'!F10, C22,C22*(1+'📊 Calculator'!C10/12)^12+'📊 Calculator'!C9*(((1+'📊 Calculator'!C10/12)^12-1)/('📊 Calculator'!C10/12)))</f>
        <v>505012.978089538</v>
      </c>
      <c r="D23" s="27" t="n">
        <f aca="false">'📊 Calculator'!F10</f>
        <v>750000</v>
      </c>
      <c r="E23" s="27" t="n">
        <f aca="false">MAX(0,D23-C23)</f>
        <v>244987.021910462</v>
      </c>
      <c r="F23" s="40" t="n">
        <f aca="false">MIN(1,C23/D23)</f>
        <v>0.673350637452718</v>
      </c>
    </row>
    <row r="24" customFormat="false" ht="18" hidden="false" customHeight="true" outlineLevel="0" collapsed="false">
      <c r="B24" s="37" t="n">
        <v>17</v>
      </c>
      <c r="C24" s="30" t="n">
        <f aca="false">IF(C23&gt;='📊 Calculator'!F10, C23,C23*(1+'📊 Calculator'!C10/12)^12+'📊 Calculator'!C9*(((1+'📊 Calculator'!C10/12)^12-1)/('📊 Calculator'!C10/12)))</f>
        <v>553912.99239872</v>
      </c>
      <c r="D24" s="29" t="n">
        <f aca="false">'📊 Calculator'!F10</f>
        <v>750000</v>
      </c>
      <c r="E24" s="29" t="n">
        <f aca="false">MAX(0,D24-C24)</f>
        <v>196087.00760128</v>
      </c>
      <c r="F24" s="38" t="n">
        <f aca="false">MIN(1,C24/D24)</f>
        <v>0.738550656531627</v>
      </c>
    </row>
    <row r="25" customFormat="false" ht="18" hidden="false" customHeight="true" outlineLevel="0" collapsed="false">
      <c r="B25" s="39" t="n">
        <v>18</v>
      </c>
      <c r="C25" s="28" t="n">
        <f aca="false">IF(C24&gt;='📊 Calculator'!F10, C24,C24*(1+'📊 Calculator'!C10/12)^12+'📊 Calculator'!C9*(((1+'📊 Calculator'!C10/12)^12-1)/('📊 Calculator'!C10/12)))</f>
        <v>606347.992696184</v>
      </c>
      <c r="D25" s="27" t="n">
        <f aca="false">'📊 Calculator'!F10</f>
        <v>750000</v>
      </c>
      <c r="E25" s="27" t="n">
        <f aca="false">MAX(0,D25-C25)</f>
        <v>143652.007303816</v>
      </c>
      <c r="F25" s="40" t="n">
        <f aca="false">MIN(1,C25/D25)</f>
        <v>0.808463990261578</v>
      </c>
    </row>
    <row r="26" customFormat="false" ht="18" hidden="false" customHeight="true" outlineLevel="0" collapsed="false">
      <c r="B26" s="37" t="n">
        <v>19</v>
      </c>
      <c r="C26" s="30" t="n">
        <f aca="false">IF(C25&gt;='📊 Calculator'!F10, C25,C25*(1+'📊 Calculator'!C10/12)^12+'📊 Calculator'!C9*(((1+'📊 Calculator'!C10/12)^12-1)/('📊 Calculator'!C10/12)))</f>
        <v>662573.523404848</v>
      </c>
      <c r="D26" s="29" t="n">
        <f aca="false">'📊 Calculator'!F10</f>
        <v>750000</v>
      </c>
      <c r="E26" s="29" t="n">
        <f aca="false">MAX(0,D26-C26)</f>
        <v>87426.4765951525</v>
      </c>
      <c r="F26" s="38" t="n">
        <f aca="false">MIN(1,C26/D26)</f>
        <v>0.883431364539797</v>
      </c>
    </row>
    <row r="27" customFormat="false" ht="18" hidden="false" customHeight="true" outlineLevel="0" collapsed="false">
      <c r="B27" s="39" t="n">
        <v>20</v>
      </c>
      <c r="C27" s="28" t="n">
        <f aca="false">IF(C26&gt;='📊 Calculator'!F10, C26,C26*(1+'📊 Calculator'!C10/12)^12+'📊 Calculator'!C9*(((1+'📊 Calculator'!C10/12)^12-1)/('📊 Calculator'!C10/12)))</f>
        <v>722863.602274625</v>
      </c>
      <c r="D27" s="27" t="n">
        <f aca="false">'📊 Calculator'!F10</f>
        <v>750000</v>
      </c>
      <c r="E27" s="27" t="n">
        <f aca="false">MAX(0,D27-C27)</f>
        <v>27136.3977253746</v>
      </c>
      <c r="F27" s="40" t="n">
        <f aca="false">MIN(1,C27/D27)</f>
        <v>0.963818136366167</v>
      </c>
    </row>
    <row r="28" customFormat="false" ht="18" hidden="false" customHeight="true" outlineLevel="0" collapsed="false">
      <c r="B28" s="37" t="n">
        <v>21</v>
      </c>
      <c r="C28" s="30" t="n">
        <f aca="false">IF(C27&gt;='📊 Calculator'!F10, C27,C27*(1+'📊 Calculator'!C10/12)^12+'📊 Calculator'!C9*(((1+'📊 Calculator'!C10/12)^12-1)/('📊 Calculator'!C10/12)))</f>
        <v>787512.055820729</v>
      </c>
      <c r="D28" s="29" t="n">
        <f aca="false">'📊 Calculator'!F10</f>
        <v>750000</v>
      </c>
      <c r="E28" s="29" t="n">
        <f aca="false">MAX(0,D28-C28)</f>
        <v>0</v>
      </c>
      <c r="F28" s="38" t="n">
        <f aca="false">MIN(1,C28/D28)</f>
        <v>1</v>
      </c>
    </row>
    <row r="29" customFormat="false" ht="18" hidden="false" customHeight="true" outlineLevel="0" collapsed="false">
      <c r="B29" s="39" t="n">
        <v>22</v>
      </c>
      <c r="C29" s="28" t="n">
        <f aca="false">IF(C28&gt;='📊 Calculator'!F10, C28,C28*(1+'📊 Calculator'!C10/12)^12+'📊 Calculator'!C9*(((1+'📊 Calculator'!C10/12)^12-1)/('📊 Calculator'!C10/12)))</f>
        <v>787512.055820729</v>
      </c>
      <c r="D29" s="27" t="n">
        <f aca="false">'📊 Calculator'!F10</f>
        <v>750000</v>
      </c>
      <c r="E29" s="27" t="n">
        <f aca="false">MAX(0,D29-C29)</f>
        <v>0</v>
      </c>
      <c r="F29" s="40" t="n">
        <f aca="false">MIN(1,C29/D29)</f>
        <v>1</v>
      </c>
    </row>
    <row r="30" customFormat="false" ht="18" hidden="false" customHeight="true" outlineLevel="0" collapsed="false">
      <c r="B30" s="37" t="n">
        <v>23</v>
      </c>
      <c r="C30" s="30" t="n">
        <f aca="false">IF(C29&gt;='📊 Calculator'!F10, C29,C29*(1+'📊 Calculator'!C10/12)^12+'📊 Calculator'!C9*(((1+'📊 Calculator'!C10/12)^12-1)/('📊 Calculator'!C10/12)))</f>
        <v>787512.055820729</v>
      </c>
      <c r="D30" s="29" t="n">
        <f aca="false">'📊 Calculator'!F10</f>
        <v>750000</v>
      </c>
      <c r="E30" s="29" t="n">
        <f aca="false">MAX(0,D30-C30)</f>
        <v>0</v>
      </c>
      <c r="F30" s="38" t="n">
        <f aca="false">MIN(1,C30/D30)</f>
        <v>1</v>
      </c>
    </row>
    <row r="31" customFormat="false" ht="18" hidden="false" customHeight="true" outlineLevel="0" collapsed="false">
      <c r="B31" s="39" t="n">
        <v>24</v>
      </c>
      <c r="C31" s="28" t="n">
        <f aca="false">IF(C30&gt;='📊 Calculator'!F10, C30,C30*(1+'📊 Calculator'!C10/12)^12+'📊 Calculator'!C9*(((1+'📊 Calculator'!C10/12)^12-1)/('📊 Calculator'!C10/12)))</f>
        <v>787512.055820729</v>
      </c>
      <c r="D31" s="27" t="n">
        <f aca="false">'📊 Calculator'!F10</f>
        <v>750000</v>
      </c>
      <c r="E31" s="27" t="n">
        <f aca="false">MAX(0,D31-C31)</f>
        <v>0</v>
      </c>
      <c r="F31" s="40" t="n">
        <f aca="false">MIN(1,C31/D31)</f>
        <v>1</v>
      </c>
    </row>
    <row r="32" customFormat="false" ht="18" hidden="false" customHeight="true" outlineLevel="0" collapsed="false">
      <c r="B32" s="37" t="n">
        <v>25</v>
      </c>
      <c r="C32" s="30" t="n">
        <f aca="false">IF(C31&gt;='📊 Calculator'!F10, C31,C31*(1+'📊 Calculator'!C10/12)^12+'📊 Calculator'!C9*(((1+'📊 Calculator'!C10/12)^12-1)/('📊 Calculator'!C10/12)))</f>
        <v>787512.055820729</v>
      </c>
      <c r="D32" s="29" t="n">
        <f aca="false">'📊 Calculator'!F10</f>
        <v>750000</v>
      </c>
      <c r="E32" s="29" t="n">
        <f aca="false">MAX(0,D32-C32)</f>
        <v>0</v>
      </c>
      <c r="F32" s="38" t="n">
        <f aca="false">MIN(1,C32/D32)</f>
        <v>1</v>
      </c>
    </row>
    <row r="33" customFormat="false" ht="18" hidden="false" customHeight="true" outlineLevel="0" collapsed="false">
      <c r="B33" s="39" t="n">
        <v>26</v>
      </c>
      <c r="C33" s="28" t="n">
        <f aca="false">IF(C32&gt;='📊 Calculator'!F10, C32,C32*(1+'📊 Calculator'!C10/12)^12+'📊 Calculator'!C9*(((1+'📊 Calculator'!C10/12)^12-1)/('📊 Calculator'!C10/12)))</f>
        <v>787512.055820729</v>
      </c>
      <c r="D33" s="27" t="n">
        <f aca="false">'📊 Calculator'!F10</f>
        <v>750000</v>
      </c>
      <c r="E33" s="27" t="n">
        <f aca="false">MAX(0,D33-C33)</f>
        <v>0</v>
      </c>
      <c r="F33" s="40" t="n">
        <f aca="false">MIN(1,C33/D33)</f>
        <v>1</v>
      </c>
    </row>
    <row r="34" customFormat="false" ht="18" hidden="false" customHeight="true" outlineLevel="0" collapsed="false">
      <c r="B34" s="37" t="n">
        <v>27</v>
      </c>
      <c r="C34" s="30" t="n">
        <f aca="false">IF(C33&gt;='📊 Calculator'!F10, C33,C33*(1+'📊 Calculator'!C10/12)^12+'📊 Calculator'!C9*(((1+'📊 Calculator'!C10/12)^12-1)/('📊 Calculator'!C10/12)))</f>
        <v>787512.055820729</v>
      </c>
      <c r="D34" s="29" t="n">
        <f aca="false">'📊 Calculator'!F10</f>
        <v>750000</v>
      </c>
      <c r="E34" s="29" t="n">
        <f aca="false">MAX(0,D34-C34)</f>
        <v>0</v>
      </c>
      <c r="F34" s="38" t="n">
        <f aca="false">MIN(1,C34/D34)</f>
        <v>1</v>
      </c>
    </row>
    <row r="35" customFormat="false" ht="18" hidden="false" customHeight="true" outlineLevel="0" collapsed="false">
      <c r="B35" s="39" t="n">
        <v>28</v>
      </c>
      <c r="C35" s="28" t="n">
        <f aca="false">IF(C34&gt;='📊 Calculator'!F10, C34,C34*(1+'📊 Calculator'!C10/12)^12+'📊 Calculator'!C9*(((1+'📊 Calculator'!C10/12)^12-1)/('📊 Calculator'!C10/12)))</f>
        <v>787512.055820729</v>
      </c>
      <c r="D35" s="27" t="n">
        <f aca="false">'📊 Calculator'!F10</f>
        <v>750000</v>
      </c>
      <c r="E35" s="27" t="n">
        <f aca="false">MAX(0,D35-C35)</f>
        <v>0</v>
      </c>
      <c r="F35" s="40" t="n">
        <f aca="false">MIN(1,C35/D35)</f>
        <v>1</v>
      </c>
    </row>
    <row r="36" customFormat="false" ht="18" hidden="false" customHeight="true" outlineLevel="0" collapsed="false">
      <c r="B36" s="37" t="n">
        <v>29</v>
      </c>
      <c r="C36" s="30" t="n">
        <f aca="false">IF(C35&gt;='📊 Calculator'!F10, C35,C35*(1+'📊 Calculator'!C10/12)^12+'📊 Calculator'!C9*(((1+'📊 Calculator'!C10/12)^12-1)/('📊 Calculator'!C10/12)))</f>
        <v>787512.055820729</v>
      </c>
      <c r="D36" s="29" t="n">
        <f aca="false">'📊 Calculator'!F10</f>
        <v>750000</v>
      </c>
      <c r="E36" s="29" t="n">
        <f aca="false">MAX(0,D36-C36)</f>
        <v>0</v>
      </c>
      <c r="F36" s="38" t="n">
        <f aca="false">MIN(1,C36/D36)</f>
        <v>1</v>
      </c>
    </row>
    <row r="37" customFormat="false" ht="18" hidden="false" customHeight="true" outlineLevel="0" collapsed="false">
      <c r="B37" s="39" t="n">
        <v>30</v>
      </c>
      <c r="C37" s="28" t="n">
        <f aca="false">IF(C36&gt;='📊 Calculator'!F10, C36,C36*(1+'📊 Calculator'!C10/12)^12+'📊 Calculator'!C9*(((1+'📊 Calculator'!C10/12)^12-1)/('📊 Calculator'!C10/12)))</f>
        <v>787512.055820729</v>
      </c>
      <c r="D37" s="27" t="n">
        <f aca="false">'📊 Calculator'!F10</f>
        <v>750000</v>
      </c>
      <c r="E37" s="27" t="n">
        <f aca="false">MAX(0,D37-C37)</f>
        <v>0</v>
      </c>
      <c r="F37" s="40" t="n">
        <f aca="false">MIN(1,C37/D37)</f>
        <v>1</v>
      </c>
    </row>
    <row r="38" customFormat="false" ht="18" hidden="false" customHeight="true" outlineLevel="0" collapsed="false">
      <c r="B38" s="37" t="n">
        <v>31</v>
      </c>
      <c r="C38" s="30" t="n">
        <f aca="false">IF(C37&gt;='📊 Calculator'!F10, C37,C37*(1+'📊 Calculator'!C10/12)^12+'📊 Calculator'!C9*(((1+'📊 Calculator'!C10/12)^12-1)/('📊 Calculator'!C10/12)))</f>
        <v>787512.055820729</v>
      </c>
      <c r="D38" s="29" t="n">
        <f aca="false">'📊 Calculator'!F10</f>
        <v>750000</v>
      </c>
      <c r="E38" s="29" t="n">
        <f aca="false">MAX(0,D38-C38)</f>
        <v>0</v>
      </c>
      <c r="F38" s="38" t="n">
        <f aca="false">MIN(1,C38/D38)</f>
        <v>1</v>
      </c>
    </row>
    <row r="39" customFormat="false" ht="18" hidden="false" customHeight="true" outlineLevel="0" collapsed="false">
      <c r="B39" s="39" t="n">
        <v>32</v>
      </c>
      <c r="C39" s="28" t="n">
        <f aca="false">IF(C38&gt;='📊 Calculator'!F10, C38,C38*(1+'📊 Calculator'!C10/12)^12+'📊 Calculator'!C9*(((1+'📊 Calculator'!C10/12)^12-1)/('📊 Calculator'!C10/12)))</f>
        <v>787512.055820729</v>
      </c>
      <c r="D39" s="27" t="n">
        <f aca="false">'📊 Calculator'!F10</f>
        <v>750000</v>
      </c>
      <c r="E39" s="27" t="n">
        <f aca="false">MAX(0,D39-C39)</f>
        <v>0</v>
      </c>
      <c r="F39" s="40" t="n">
        <f aca="false">MIN(1,C39/D39)</f>
        <v>1</v>
      </c>
    </row>
    <row r="40" customFormat="false" ht="18" hidden="false" customHeight="true" outlineLevel="0" collapsed="false">
      <c r="B40" s="37" t="n">
        <v>33</v>
      </c>
      <c r="C40" s="30" t="n">
        <f aca="false">IF(C39&gt;='📊 Calculator'!F10, C39,C39*(1+'📊 Calculator'!C10/12)^12+'📊 Calculator'!C9*(((1+'📊 Calculator'!C10/12)^12-1)/('📊 Calculator'!C10/12)))</f>
        <v>787512.055820729</v>
      </c>
      <c r="D40" s="29" t="n">
        <f aca="false">'📊 Calculator'!F10</f>
        <v>750000</v>
      </c>
      <c r="E40" s="29" t="n">
        <f aca="false">MAX(0,D40-C40)</f>
        <v>0</v>
      </c>
      <c r="F40" s="38" t="n">
        <f aca="false">MIN(1,C40/D40)</f>
        <v>1</v>
      </c>
    </row>
    <row r="41" customFormat="false" ht="18" hidden="false" customHeight="true" outlineLevel="0" collapsed="false">
      <c r="B41" s="39" t="n">
        <v>34</v>
      </c>
      <c r="C41" s="28" t="n">
        <f aca="false">IF(C40&gt;='📊 Calculator'!F10, C40,C40*(1+'📊 Calculator'!C10/12)^12+'📊 Calculator'!C9*(((1+'📊 Calculator'!C10/12)^12-1)/('📊 Calculator'!C10/12)))</f>
        <v>787512.055820729</v>
      </c>
      <c r="D41" s="27" t="n">
        <f aca="false">'📊 Calculator'!F10</f>
        <v>750000</v>
      </c>
      <c r="E41" s="27" t="n">
        <f aca="false">MAX(0,D41-C41)</f>
        <v>0</v>
      </c>
      <c r="F41" s="40" t="n">
        <f aca="false">MIN(1,C41/D41)</f>
        <v>1</v>
      </c>
    </row>
    <row r="42" customFormat="false" ht="18" hidden="false" customHeight="true" outlineLevel="0" collapsed="false">
      <c r="B42" s="37" t="n">
        <v>35</v>
      </c>
      <c r="C42" s="30" t="n">
        <f aca="false">IF(C41&gt;='📊 Calculator'!F10, C41,C41*(1+'📊 Calculator'!C10/12)^12+'📊 Calculator'!C9*(((1+'📊 Calculator'!C10/12)^12-1)/('📊 Calculator'!C10/12)))</f>
        <v>787512.055820729</v>
      </c>
      <c r="D42" s="29" t="n">
        <f aca="false">'📊 Calculator'!F10</f>
        <v>750000</v>
      </c>
      <c r="E42" s="29" t="n">
        <f aca="false">MAX(0,D42-C42)</f>
        <v>0</v>
      </c>
      <c r="F42" s="38" t="n">
        <f aca="false">MIN(1,C42/D42)</f>
        <v>1</v>
      </c>
    </row>
    <row r="43" customFormat="false" ht="18" hidden="false" customHeight="true" outlineLevel="0" collapsed="false">
      <c r="B43" s="39" t="n">
        <v>36</v>
      </c>
      <c r="C43" s="28" t="n">
        <f aca="false">IF(C42&gt;='📊 Calculator'!F10, C42,C42*(1+'📊 Calculator'!C10/12)^12+'📊 Calculator'!C9*(((1+'📊 Calculator'!C10/12)^12-1)/('📊 Calculator'!C10/12)))</f>
        <v>787512.055820729</v>
      </c>
      <c r="D43" s="27" t="n">
        <f aca="false">'📊 Calculator'!F10</f>
        <v>750000</v>
      </c>
      <c r="E43" s="27" t="n">
        <f aca="false">MAX(0,D43-C43)</f>
        <v>0</v>
      </c>
      <c r="F43" s="40" t="n">
        <f aca="false">MIN(1,C43/D43)</f>
        <v>1</v>
      </c>
    </row>
    <row r="44" customFormat="false" ht="18" hidden="false" customHeight="true" outlineLevel="0" collapsed="false">
      <c r="B44" s="37" t="n">
        <v>37</v>
      </c>
      <c r="C44" s="30" t="n">
        <f aca="false">IF(C43&gt;='📊 Calculator'!F10, C43,C43*(1+'📊 Calculator'!C10/12)^12+'📊 Calculator'!C9*(((1+'📊 Calculator'!C10/12)^12-1)/('📊 Calculator'!C10/12)))</f>
        <v>787512.055820729</v>
      </c>
      <c r="D44" s="29" t="n">
        <f aca="false">'📊 Calculator'!F10</f>
        <v>750000</v>
      </c>
      <c r="E44" s="29" t="n">
        <f aca="false">MAX(0,D44-C44)</f>
        <v>0</v>
      </c>
      <c r="F44" s="38" t="n">
        <f aca="false">MIN(1,C44/D44)</f>
        <v>1</v>
      </c>
    </row>
    <row r="45" customFormat="false" ht="18" hidden="false" customHeight="true" outlineLevel="0" collapsed="false">
      <c r="B45" s="39" t="n">
        <v>38</v>
      </c>
      <c r="C45" s="28" t="n">
        <f aca="false">IF(C44&gt;='📊 Calculator'!F10, C44,C44*(1+'📊 Calculator'!C10/12)^12+'📊 Calculator'!C9*(((1+'📊 Calculator'!C10/12)^12-1)/('📊 Calculator'!C10/12)))</f>
        <v>787512.055820729</v>
      </c>
      <c r="D45" s="27" t="n">
        <f aca="false">'📊 Calculator'!F10</f>
        <v>750000</v>
      </c>
      <c r="E45" s="27" t="n">
        <f aca="false">MAX(0,D45-C45)</f>
        <v>0</v>
      </c>
      <c r="F45" s="40" t="n">
        <f aca="false">MIN(1,C45/D45)</f>
        <v>1</v>
      </c>
    </row>
    <row r="46" customFormat="false" ht="18" hidden="false" customHeight="true" outlineLevel="0" collapsed="false">
      <c r="B46" s="37" t="n">
        <v>39</v>
      </c>
      <c r="C46" s="30" t="n">
        <f aca="false">IF(C45&gt;='📊 Calculator'!F10, C45,C45*(1+'📊 Calculator'!C10/12)^12+'📊 Calculator'!C9*(((1+'📊 Calculator'!C10/12)^12-1)/('📊 Calculator'!C10/12)))</f>
        <v>787512.055820729</v>
      </c>
      <c r="D46" s="29" t="n">
        <f aca="false">'📊 Calculator'!F10</f>
        <v>750000</v>
      </c>
      <c r="E46" s="29" t="n">
        <f aca="false">MAX(0,D46-C46)</f>
        <v>0</v>
      </c>
      <c r="F46" s="38" t="n">
        <f aca="false">MIN(1,C46/D46)</f>
        <v>1</v>
      </c>
    </row>
    <row r="47" customFormat="false" ht="18" hidden="false" customHeight="true" outlineLevel="0" collapsed="false">
      <c r="B47" s="39" t="n">
        <v>40</v>
      </c>
      <c r="C47" s="28" t="n">
        <f aca="false">IF(C46&gt;='📊 Calculator'!F10, C46,C46*(1+'📊 Calculator'!C10/12)^12+'📊 Calculator'!C9*(((1+'📊 Calculator'!C10/12)^12-1)/('📊 Calculator'!C10/12)))</f>
        <v>787512.055820729</v>
      </c>
      <c r="D47" s="27" t="n">
        <f aca="false">'📊 Calculator'!F10</f>
        <v>750000</v>
      </c>
      <c r="E47" s="27" t="n">
        <f aca="false">MAX(0,D47-C47)</f>
        <v>0</v>
      </c>
      <c r="F47" s="40" t="n">
        <f aca="false">MIN(1,C47/D47)</f>
        <v>1</v>
      </c>
    </row>
    <row r="48" customFormat="false" ht="18" hidden="false" customHeight="true" outlineLevel="0" collapsed="false">
      <c r="B48" s="37" t="n">
        <v>41</v>
      </c>
      <c r="C48" s="30" t="n">
        <f aca="false">IF(C47&gt;='📊 Calculator'!F10, C47,C47*(1+'📊 Calculator'!C10/12)^12+'📊 Calculator'!C9*(((1+'📊 Calculator'!C10/12)^12-1)/('📊 Calculator'!C10/12)))</f>
        <v>787512.055820729</v>
      </c>
      <c r="D48" s="29" t="n">
        <f aca="false">'📊 Calculator'!F10</f>
        <v>750000</v>
      </c>
      <c r="E48" s="29" t="n">
        <f aca="false">MAX(0,D48-C48)</f>
        <v>0</v>
      </c>
      <c r="F48" s="38" t="n">
        <f aca="false">MIN(1,C48/D48)</f>
        <v>1</v>
      </c>
    </row>
    <row r="49" customFormat="false" ht="18" hidden="false" customHeight="true" outlineLevel="0" collapsed="false">
      <c r="B49" s="39" t="n">
        <v>42</v>
      </c>
      <c r="C49" s="28" t="n">
        <f aca="false">IF(C48&gt;='📊 Calculator'!F10, C48,C48*(1+'📊 Calculator'!C10/12)^12+'📊 Calculator'!C9*(((1+'📊 Calculator'!C10/12)^12-1)/('📊 Calculator'!C10/12)))</f>
        <v>787512.055820729</v>
      </c>
      <c r="D49" s="27" t="n">
        <f aca="false">'📊 Calculator'!F10</f>
        <v>750000</v>
      </c>
      <c r="E49" s="27" t="n">
        <f aca="false">MAX(0,D49-C49)</f>
        <v>0</v>
      </c>
      <c r="F49" s="40" t="n">
        <f aca="false">MIN(1,C49/D49)</f>
        <v>1</v>
      </c>
    </row>
    <row r="50" customFormat="false" ht="18" hidden="false" customHeight="true" outlineLevel="0" collapsed="false">
      <c r="B50" s="37" t="n">
        <v>43</v>
      </c>
      <c r="C50" s="30" t="n">
        <f aca="false">IF(C49&gt;='📊 Calculator'!F10, C49,C49*(1+'📊 Calculator'!C10/12)^12+'📊 Calculator'!C9*(((1+'📊 Calculator'!C10/12)^12-1)/('📊 Calculator'!C10/12)))</f>
        <v>787512.055820729</v>
      </c>
      <c r="D50" s="29" t="n">
        <f aca="false">'📊 Calculator'!F10</f>
        <v>750000</v>
      </c>
      <c r="E50" s="29" t="n">
        <f aca="false">MAX(0,D50-C50)</f>
        <v>0</v>
      </c>
      <c r="F50" s="38" t="n">
        <f aca="false">MIN(1,C50/D50)</f>
        <v>1</v>
      </c>
    </row>
    <row r="51" customFormat="false" ht="18" hidden="false" customHeight="true" outlineLevel="0" collapsed="false">
      <c r="B51" s="39" t="n">
        <v>44</v>
      </c>
      <c r="C51" s="28" t="n">
        <f aca="false">IF(C50&gt;='📊 Calculator'!F10, C50,C50*(1+'📊 Calculator'!C10/12)^12+'📊 Calculator'!C9*(((1+'📊 Calculator'!C10/12)^12-1)/('📊 Calculator'!C10/12)))</f>
        <v>787512.055820729</v>
      </c>
      <c r="D51" s="27" t="n">
        <f aca="false">'📊 Calculator'!F10</f>
        <v>750000</v>
      </c>
      <c r="E51" s="27" t="n">
        <f aca="false">MAX(0,D51-C51)</f>
        <v>0</v>
      </c>
      <c r="F51" s="40" t="n">
        <f aca="false">MIN(1,C51/D51)</f>
        <v>1</v>
      </c>
    </row>
    <row r="52" customFormat="false" ht="18" hidden="false" customHeight="true" outlineLevel="0" collapsed="false">
      <c r="B52" s="37" t="n">
        <v>45</v>
      </c>
      <c r="C52" s="30" t="n">
        <f aca="false">IF(C51&gt;='📊 Calculator'!F10, C51,C51*(1+'📊 Calculator'!C10/12)^12+'📊 Calculator'!C9*(((1+'📊 Calculator'!C10/12)^12-1)/('📊 Calculator'!C10/12)))</f>
        <v>787512.055820729</v>
      </c>
      <c r="D52" s="29" t="n">
        <f aca="false">'📊 Calculator'!F10</f>
        <v>750000</v>
      </c>
      <c r="E52" s="29" t="n">
        <f aca="false">MAX(0,D52-C52)</f>
        <v>0</v>
      </c>
      <c r="F52" s="38" t="n">
        <f aca="false">MIN(1,C52/D52)</f>
        <v>1</v>
      </c>
    </row>
    <row r="53" customFormat="false" ht="18" hidden="false" customHeight="true" outlineLevel="0" collapsed="false">
      <c r="B53" s="39" t="n">
        <v>46</v>
      </c>
      <c r="C53" s="28" t="n">
        <f aca="false">IF(C52&gt;='📊 Calculator'!F10, C52,C52*(1+'📊 Calculator'!C10/12)^12+'📊 Calculator'!C9*(((1+'📊 Calculator'!C10/12)^12-1)/('📊 Calculator'!C10/12)))</f>
        <v>787512.055820729</v>
      </c>
      <c r="D53" s="27" t="n">
        <f aca="false">'📊 Calculator'!F10</f>
        <v>750000</v>
      </c>
      <c r="E53" s="27" t="n">
        <f aca="false">MAX(0,D53-C53)</f>
        <v>0</v>
      </c>
      <c r="F53" s="40" t="n">
        <f aca="false">MIN(1,C53/D53)</f>
        <v>1</v>
      </c>
    </row>
    <row r="54" customFormat="false" ht="18" hidden="false" customHeight="true" outlineLevel="0" collapsed="false">
      <c r="B54" s="37" t="n">
        <v>47</v>
      </c>
      <c r="C54" s="30" t="n">
        <f aca="false">IF(C53&gt;='📊 Calculator'!F10, C53,C53*(1+'📊 Calculator'!C10/12)^12+'📊 Calculator'!C9*(((1+'📊 Calculator'!C10/12)^12-1)/('📊 Calculator'!C10/12)))</f>
        <v>787512.055820729</v>
      </c>
      <c r="D54" s="29" t="n">
        <f aca="false">'📊 Calculator'!F10</f>
        <v>750000</v>
      </c>
      <c r="E54" s="29" t="n">
        <f aca="false">MAX(0,D54-C54)</f>
        <v>0</v>
      </c>
      <c r="F54" s="38" t="n">
        <f aca="false">MIN(1,C54/D54)</f>
        <v>1</v>
      </c>
    </row>
    <row r="55" customFormat="false" ht="18" hidden="false" customHeight="true" outlineLevel="0" collapsed="false">
      <c r="B55" s="39" t="n">
        <v>48</v>
      </c>
      <c r="C55" s="28" t="n">
        <f aca="false">IF(C54&gt;='📊 Calculator'!F10, C54,C54*(1+'📊 Calculator'!C10/12)^12+'📊 Calculator'!C9*(((1+'📊 Calculator'!C10/12)^12-1)/('📊 Calculator'!C10/12)))</f>
        <v>787512.055820729</v>
      </c>
      <c r="D55" s="27" t="n">
        <f aca="false">'📊 Calculator'!F10</f>
        <v>750000</v>
      </c>
      <c r="E55" s="27" t="n">
        <f aca="false">MAX(0,D55-C55)</f>
        <v>0</v>
      </c>
      <c r="F55" s="40" t="n">
        <f aca="false">MIN(1,C55/D55)</f>
        <v>1</v>
      </c>
    </row>
    <row r="56" customFormat="false" ht="18" hidden="false" customHeight="true" outlineLevel="0" collapsed="false">
      <c r="B56" s="37" t="n">
        <v>49</v>
      </c>
      <c r="C56" s="30" t="n">
        <f aca="false">IF(C55&gt;='📊 Calculator'!F10, C55,C55*(1+'📊 Calculator'!C10/12)^12+'📊 Calculator'!C9*(((1+'📊 Calculator'!C10/12)^12-1)/('📊 Calculator'!C10/12)))</f>
        <v>787512.055820729</v>
      </c>
      <c r="D56" s="29" t="n">
        <f aca="false">'📊 Calculator'!F10</f>
        <v>750000</v>
      </c>
      <c r="E56" s="29" t="n">
        <f aca="false">MAX(0,D56-C56)</f>
        <v>0</v>
      </c>
      <c r="F56" s="38" t="n">
        <f aca="false">MIN(1,C56/D56)</f>
        <v>1</v>
      </c>
    </row>
    <row r="57" customFormat="false" ht="18" hidden="false" customHeight="true" outlineLevel="0" collapsed="false">
      <c r="B57" s="39" t="n">
        <v>50</v>
      </c>
      <c r="C57" s="28" t="n">
        <f aca="false">IF(C56&gt;='📊 Calculator'!F10, C56,C56*(1+'📊 Calculator'!C10/12)^12+'📊 Calculator'!C9*(((1+'📊 Calculator'!C10/12)^12-1)/('📊 Calculator'!C10/12)))</f>
        <v>787512.055820729</v>
      </c>
      <c r="D57" s="27" t="n">
        <f aca="false">'📊 Calculator'!F10</f>
        <v>750000</v>
      </c>
      <c r="E57" s="27" t="n">
        <f aca="false">MAX(0,D57-C57)</f>
        <v>0</v>
      </c>
      <c r="F57" s="40" t="n">
        <f aca="false">MIN(1,C57/D57)</f>
        <v>1</v>
      </c>
    </row>
  </sheetData>
  <mergeCells count="2">
    <mergeCell ref="B2:F3"/>
    <mergeCell ref="B4:F4"/>
  </mergeCells>
  <conditionalFormatting sqref="F7:F57">
    <cfRule type="dataBar" priority="2">
      <dataBar showValue="1" minLength="10" maxLength="90">
        <cfvo type="num" val="0"/>
        <cfvo type="num" val="1"/>
        <color rgb="FF1D9E75"/>
      </dataBar>
      <extLst>
        <ext xmlns:x14="http://schemas.microsoft.com/office/spreadsheetml/2009/9/main" uri="{B025F937-C7B1-47D3-B67F-A62EFF666E3E}">
          <x14:id>{25D0B08C-B2F3-4E8B-922D-6E684C5A6686}</x14:id>
        </ext>
      </extLst>
    </cfRule>
  </conditionalFormatting>
  <conditionalFormatting sqref="C7:C57">
    <cfRule type="cellIs" priority="3" operator="greaterThanOrEqual" aboveAverage="0" equalAverage="0" bottom="0" percent="0" rank="0" text="" dxfId="0">
      <formula>'📊 Calculator'!F10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D0B08C-B2F3-4E8B-922D-6E684C5A6686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1D9E75"/>
              <x14:axisColor rgb="FF000000"/>
            </x14:dataBar>
          </x14:cfRule>
          <xm:sqref>F7:F57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88888"/>
    <pageSetUpPr fitToPage="false"/>
  </sheetPr>
  <dimension ref="B1:B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0"/>
  </cols>
  <sheetData>
    <row r="1" customFormat="false" ht="6" hidden="false" customHeight="true" outlineLevel="0" collapsed="false"/>
    <row r="2" customFormat="false" ht="25.5" hidden="false" customHeight="true" outlineLevel="0" collapsed="false">
      <c r="B2" s="32" t="s">
        <v>45</v>
      </c>
    </row>
    <row r="3" customFormat="false" ht="15.75" hidden="false" customHeight="true" outlineLevel="0" collapsed="false">
      <c r="B3" s="32"/>
    </row>
    <row r="4" customFormat="false" ht="19.5" hidden="false" customHeight="true" outlineLevel="0" collapsed="false">
      <c r="B4" s="41"/>
    </row>
    <row r="5" customFormat="false" ht="19.5" hidden="false" customHeight="true" outlineLevel="0" collapsed="false">
      <c r="B5" s="42" t="s">
        <v>46</v>
      </c>
    </row>
    <row r="6" customFormat="false" ht="19.5" hidden="false" customHeight="true" outlineLevel="0" collapsed="false">
      <c r="B6" s="41" t="s">
        <v>47</v>
      </c>
    </row>
    <row r="7" customFormat="false" ht="19.5" hidden="false" customHeight="true" outlineLevel="0" collapsed="false">
      <c r="B7" s="41" t="s">
        <v>48</v>
      </c>
    </row>
    <row r="8" customFormat="false" ht="19.5" hidden="false" customHeight="true" outlineLevel="0" collapsed="false">
      <c r="B8" s="43" t="s">
        <v>49</v>
      </c>
    </row>
    <row r="9" customFormat="false" ht="19.5" hidden="false" customHeight="true" outlineLevel="0" collapsed="false">
      <c r="B9" s="43" t="s">
        <v>50</v>
      </c>
    </row>
    <row r="10" customFormat="false" ht="19.5" hidden="false" customHeight="true" outlineLevel="0" collapsed="false">
      <c r="B10" s="43" t="s">
        <v>51</v>
      </c>
    </row>
    <row r="11" customFormat="false" ht="19.5" hidden="false" customHeight="true" outlineLevel="0" collapsed="false">
      <c r="B11" s="43" t="s">
        <v>52</v>
      </c>
    </row>
    <row r="12" customFormat="false" ht="19.5" hidden="false" customHeight="true" outlineLevel="0" collapsed="false">
      <c r="B12" s="43" t="s">
        <v>53</v>
      </c>
    </row>
    <row r="13" customFormat="false" ht="19.5" hidden="false" customHeight="true" outlineLevel="0" collapsed="false">
      <c r="B13" s="43" t="s">
        <v>54</v>
      </c>
    </row>
    <row r="14" customFormat="false" ht="19.5" hidden="false" customHeight="true" outlineLevel="0" collapsed="false">
      <c r="B14" s="41" t="s">
        <v>55</v>
      </c>
    </row>
    <row r="15" customFormat="false" ht="19.5" hidden="false" customHeight="true" outlineLevel="0" collapsed="false">
      <c r="B15" s="41"/>
    </row>
    <row r="16" customFormat="false" ht="19.5" hidden="false" customHeight="true" outlineLevel="0" collapsed="false">
      <c r="B16" s="42" t="s">
        <v>56</v>
      </c>
    </row>
    <row r="17" customFormat="false" ht="19.5" hidden="false" customHeight="true" outlineLevel="0" collapsed="false">
      <c r="B17" s="41" t="s">
        <v>57</v>
      </c>
    </row>
    <row r="18" customFormat="false" ht="19.5" hidden="false" customHeight="true" outlineLevel="0" collapsed="false">
      <c r="B18" s="41" t="s">
        <v>58</v>
      </c>
    </row>
    <row r="19" customFormat="false" ht="19.5" hidden="false" customHeight="true" outlineLevel="0" collapsed="false">
      <c r="B19" s="41" t="s">
        <v>59</v>
      </c>
    </row>
    <row r="20" customFormat="false" ht="19.5" hidden="false" customHeight="true" outlineLevel="0" collapsed="false">
      <c r="B20" s="41" t="s">
        <v>60</v>
      </c>
    </row>
    <row r="21" customFormat="false" ht="19.5" hidden="false" customHeight="true" outlineLevel="0" collapsed="false">
      <c r="B21" s="41" t="s">
        <v>61</v>
      </c>
    </row>
    <row r="22" customFormat="false" ht="19.5" hidden="false" customHeight="true" outlineLevel="0" collapsed="false">
      <c r="B22" s="41"/>
    </row>
    <row r="23" customFormat="false" ht="19.5" hidden="false" customHeight="true" outlineLevel="0" collapsed="false">
      <c r="B23" s="42" t="s">
        <v>62</v>
      </c>
    </row>
    <row r="24" customFormat="false" ht="19.5" hidden="false" customHeight="true" outlineLevel="0" collapsed="false">
      <c r="B24" s="41" t="s">
        <v>63</v>
      </c>
    </row>
    <row r="25" customFormat="false" ht="19.5" hidden="false" customHeight="true" outlineLevel="0" collapsed="false">
      <c r="B25" s="41" t="s">
        <v>64</v>
      </c>
    </row>
    <row r="26" customFormat="false" ht="19.5" hidden="false" customHeight="true" outlineLevel="0" collapsed="false">
      <c r="B26" s="41"/>
    </row>
    <row r="27" customFormat="false" ht="19.5" hidden="false" customHeight="true" outlineLevel="0" collapsed="false">
      <c r="B27" s="42" t="s">
        <v>65</v>
      </c>
    </row>
    <row r="28" customFormat="false" ht="19.5" hidden="false" customHeight="true" outlineLevel="0" collapsed="false">
      <c r="B28" s="41" t="s">
        <v>66</v>
      </c>
    </row>
    <row r="29" customFormat="false" ht="19.5" hidden="false" customHeight="true" outlineLevel="0" collapsed="false">
      <c r="B29" s="41" t="s">
        <v>67</v>
      </c>
    </row>
    <row r="30" customFormat="false" ht="19.5" hidden="false" customHeight="true" outlineLevel="0" collapsed="false">
      <c r="B30" s="41" t="s">
        <v>68</v>
      </c>
    </row>
    <row r="31" customFormat="false" ht="19.5" hidden="false" customHeight="true" outlineLevel="0" collapsed="false">
      <c r="B31" s="41" t="s">
        <v>69</v>
      </c>
    </row>
  </sheetData>
  <mergeCells count="1">
    <mergeCell ref="B2:B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2026-05-11T11:07:04Z</dcterms:created>
  <dc:creator>openpyxl</dc:creator>
  <dc:description/>
  <dc:language>en-US</dc:language>
  <cp:lastModifiedBy/>
  <dcterms:modified xsi:type="dcterms:W3CDTF">2026-05-11T11:07:06Z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